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NDAH CARGO 2024\MITRA A 2026\"/>
    </mc:Choice>
  </mc:AlternateContent>
  <xr:revisionPtr revIDLastSave="0" documentId="13_ncr:1_{34254823-1A1C-470D-B4BB-B0F86851AD63}" xr6:coauthVersionLast="47" xr6:coauthVersionMax="47" xr10:uidLastSave="{00000000-0000-0000-0000-000000000000}"/>
  <bookViews>
    <workbookView xWindow="-120" yWindow="-120" windowWidth="20730" windowHeight="11160" tabRatio="598" firstSheet="2" activeTab="6" xr2:uid="{00000000-000D-0000-FFFF-FFFF00000000}"/>
  </bookViews>
  <sheets>
    <sheet name="NOVEMBER " sheetId="1" r:id="rId1"/>
    <sheet name="DESEMBER" sheetId="2" r:id="rId2"/>
    <sheet name="Januari26" sheetId="9" r:id="rId3"/>
    <sheet name="feb26" sheetId="11" r:id="rId4"/>
    <sheet name="mar26" sheetId="12" r:id="rId5"/>
    <sheet name="Apr 26" sheetId="13" r:id="rId6"/>
    <sheet name="Mei 26" sheetId="15" r:id="rId7"/>
    <sheet name="BB" sheetId="3" r:id="rId8"/>
    <sheet name="BB LUNAS" sheetId="4" r:id="rId9"/>
    <sheet name="Lap Har Des25" sheetId="5" r:id="rId10"/>
    <sheet name="Lap Har Jan26" sheetId="8" r:id="rId11"/>
    <sheet name="LH jun 26" sheetId="10" r:id="rId12"/>
    <sheet name="Juni26" sheetId="14" r:id="rId13"/>
  </sheets>
  <definedNames>
    <definedName name="_xlnm.Print_Area" localSheetId="7">BB!#REF!</definedName>
    <definedName name="_xlnm.Print_Area" localSheetId="6">'Mei 26'!$A$41:$S$83</definedName>
  </definedNames>
  <calcPr calcId="181029"/>
</workbook>
</file>

<file path=xl/calcChain.xml><?xml version="1.0" encoding="utf-8"?>
<calcChain xmlns="http://schemas.openxmlformats.org/spreadsheetml/2006/main">
  <c r="K61" i="15" l="1"/>
  <c r="D71" i="3"/>
  <c r="O9" i="15"/>
  <c r="F918" i="4"/>
  <c r="F907" i="4"/>
  <c r="F901" i="4"/>
  <c r="F895" i="4"/>
  <c r="F890" i="4"/>
  <c r="F888" i="4"/>
  <c r="F879" i="4"/>
  <c r="F877" i="4"/>
  <c r="F872" i="4"/>
  <c r="F864" i="4"/>
  <c r="F860" i="4"/>
  <c r="F855" i="4"/>
  <c r="F849" i="4"/>
  <c r="F846" i="4"/>
  <c r="F845" i="4"/>
  <c r="F843" i="4"/>
  <c r="F840" i="4"/>
  <c r="F832" i="4"/>
  <c r="F825" i="4"/>
  <c r="F823" i="4"/>
  <c r="F818" i="4"/>
  <c r="F814" i="4"/>
  <c r="F806" i="4"/>
  <c r="F802" i="4"/>
  <c r="G103" i="10"/>
  <c r="G101" i="10"/>
  <c r="I101" i="10"/>
  <c r="F791" i="4"/>
  <c r="F789" i="4"/>
  <c r="F788" i="4"/>
  <c r="F780" i="4"/>
  <c r="F776" i="4"/>
  <c r="F771" i="4"/>
  <c r="F766" i="4"/>
  <c r="F762" i="4"/>
  <c r="F758" i="4"/>
  <c r="M104" i="10"/>
  <c r="M102" i="10"/>
  <c r="M101" i="10"/>
  <c r="M100" i="10"/>
  <c r="M99" i="10"/>
  <c r="M98" i="10"/>
  <c r="K55" i="15"/>
  <c r="D81" i="15"/>
  <c r="E81" i="15"/>
  <c r="E65" i="15"/>
  <c r="D67" i="15"/>
  <c r="F58" i="15"/>
  <c r="F52" i="15"/>
  <c r="F57" i="15"/>
  <c r="D71" i="15"/>
  <c r="E73" i="15"/>
  <c r="F54" i="15"/>
  <c r="D74" i="15"/>
  <c r="D64" i="15"/>
  <c r="D76" i="15" s="1"/>
  <c r="F55" i="15"/>
  <c r="E72" i="15"/>
  <c r="E76" i="15" s="1"/>
  <c r="K54" i="15" s="1"/>
  <c r="B75" i="14"/>
  <c r="K71" i="14"/>
  <c r="K70" i="14"/>
  <c r="K65" i="14"/>
  <c r="K64" i="14"/>
  <c r="F64" i="14"/>
  <c r="K69" i="14" s="1"/>
  <c r="K73" i="14" s="1"/>
  <c r="K58" i="14"/>
  <c r="Q57" i="14"/>
  <c r="Q56" i="14"/>
  <c r="L55" i="14"/>
  <c r="M53" i="14"/>
  <c r="K44" i="14"/>
  <c r="P40" i="14"/>
  <c r="N40" i="14"/>
  <c r="M40" i="14"/>
  <c r="L40" i="14"/>
  <c r="I40" i="14"/>
  <c r="G40" i="14"/>
  <c r="F40" i="14"/>
  <c r="E40" i="14"/>
  <c r="D40" i="14"/>
  <c r="C40" i="14"/>
  <c r="H39" i="14"/>
  <c r="J39" i="14" s="1"/>
  <c r="K39" i="14" s="1"/>
  <c r="O39" i="14" s="1"/>
  <c r="Q39" i="14" s="1"/>
  <c r="R39" i="14" s="1"/>
  <c r="H38" i="14"/>
  <c r="J38" i="14" s="1"/>
  <c r="K38" i="14" s="1"/>
  <c r="O38" i="14" s="1"/>
  <c r="Q38" i="14" s="1"/>
  <c r="R38" i="14" s="1"/>
  <c r="H37" i="14"/>
  <c r="J37" i="14" s="1"/>
  <c r="K37" i="14" s="1"/>
  <c r="O37" i="14" s="1"/>
  <c r="Q37" i="14" s="1"/>
  <c r="R37" i="14" s="1"/>
  <c r="H36" i="14"/>
  <c r="J36" i="14" s="1"/>
  <c r="K36" i="14" s="1"/>
  <c r="O36" i="14" s="1"/>
  <c r="Q36" i="14" s="1"/>
  <c r="R36" i="14" s="1"/>
  <c r="H35" i="14"/>
  <c r="J35" i="14" s="1"/>
  <c r="K35" i="14" s="1"/>
  <c r="O35" i="14" s="1"/>
  <c r="Q35" i="14" s="1"/>
  <c r="R35" i="14" s="1"/>
  <c r="H34" i="14"/>
  <c r="J34" i="14" s="1"/>
  <c r="K34" i="14" s="1"/>
  <c r="O34" i="14" s="1"/>
  <c r="Q34" i="14" s="1"/>
  <c r="R34" i="14" s="1"/>
  <c r="H33" i="14"/>
  <c r="J33" i="14" s="1"/>
  <c r="K33" i="14" s="1"/>
  <c r="O33" i="14" s="1"/>
  <c r="Q33" i="14" s="1"/>
  <c r="R33" i="14" s="1"/>
  <c r="H31" i="14"/>
  <c r="J31" i="14" s="1"/>
  <c r="K31" i="14" s="1"/>
  <c r="O31" i="14" s="1"/>
  <c r="Q31" i="14" s="1"/>
  <c r="R31" i="14" s="1"/>
  <c r="H30" i="14"/>
  <c r="J30" i="14" s="1"/>
  <c r="K30" i="14" s="1"/>
  <c r="O30" i="14" s="1"/>
  <c r="Q30" i="14" s="1"/>
  <c r="R30" i="14" s="1"/>
  <c r="H29" i="14"/>
  <c r="J29" i="14" s="1"/>
  <c r="K29" i="14" s="1"/>
  <c r="O29" i="14" s="1"/>
  <c r="Q29" i="14" s="1"/>
  <c r="R29" i="14" s="1"/>
  <c r="H28" i="14"/>
  <c r="J28" i="14" s="1"/>
  <c r="K28" i="14" s="1"/>
  <c r="O28" i="14" s="1"/>
  <c r="Q28" i="14" s="1"/>
  <c r="R28" i="14" s="1"/>
  <c r="H27" i="14"/>
  <c r="J27" i="14" s="1"/>
  <c r="K27" i="14" s="1"/>
  <c r="O27" i="14" s="1"/>
  <c r="Q27" i="14" s="1"/>
  <c r="R27" i="14" s="1"/>
  <c r="H26" i="14"/>
  <c r="J26" i="14" s="1"/>
  <c r="K26" i="14" s="1"/>
  <c r="O26" i="14" s="1"/>
  <c r="Q26" i="14" s="1"/>
  <c r="R26" i="14" s="1"/>
  <c r="H25" i="14"/>
  <c r="J25" i="14" s="1"/>
  <c r="K25" i="14" s="1"/>
  <c r="O25" i="14" s="1"/>
  <c r="Q25" i="14" s="1"/>
  <c r="R25" i="14" s="1"/>
  <c r="H24" i="14"/>
  <c r="J24" i="14" s="1"/>
  <c r="K24" i="14" s="1"/>
  <c r="O24" i="14" s="1"/>
  <c r="Q24" i="14" s="1"/>
  <c r="R24" i="14" s="1"/>
  <c r="H23" i="14"/>
  <c r="J23" i="14" s="1"/>
  <c r="K23" i="14" s="1"/>
  <c r="O23" i="14" s="1"/>
  <c r="Q23" i="14" s="1"/>
  <c r="R23" i="14" s="1"/>
  <c r="H22" i="14"/>
  <c r="J22" i="14" s="1"/>
  <c r="K22" i="14" s="1"/>
  <c r="O22" i="14" s="1"/>
  <c r="Q22" i="14" s="1"/>
  <c r="R22" i="14" s="1"/>
  <c r="H21" i="14"/>
  <c r="J21" i="14" s="1"/>
  <c r="K21" i="14" s="1"/>
  <c r="O21" i="14" s="1"/>
  <c r="Q21" i="14" s="1"/>
  <c r="R21" i="14" s="1"/>
  <c r="H20" i="14"/>
  <c r="J20" i="14" s="1"/>
  <c r="K20" i="14" s="1"/>
  <c r="O20" i="14" s="1"/>
  <c r="Q20" i="14" s="1"/>
  <c r="R20" i="14" s="1"/>
  <c r="H19" i="14"/>
  <c r="J19" i="14" s="1"/>
  <c r="K19" i="14" s="1"/>
  <c r="O19" i="14" s="1"/>
  <c r="Q19" i="14" s="1"/>
  <c r="R19" i="14" s="1"/>
  <c r="H18" i="14"/>
  <c r="J18" i="14" s="1"/>
  <c r="K18" i="14" s="1"/>
  <c r="O18" i="14" s="1"/>
  <c r="Q18" i="14" s="1"/>
  <c r="R18" i="14" s="1"/>
  <c r="H17" i="14"/>
  <c r="J17" i="14" s="1"/>
  <c r="K17" i="14" s="1"/>
  <c r="O17" i="14" s="1"/>
  <c r="Q17" i="14" s="1"/>
  <c r="R17" i="14" s="1"/>
  <c r="H16" i="14"/>
  <c r="J16" i="14" s="1"/>
  <c r="K16" i="14" s="1"/>
  <c r="O16" i="14" s="1"/>
  <c r="Q16" i="14" s="1"/>
  <c r="R16" i="14" s="1"/>
  <c r="H15" i="14"/>
  <c r="J15" i="14" s="1"/>
  <c r="K15" i="14" s="1"/>
  <c r="O15" i="14" s="1"/>
  <c r="Q15" i="14" s="1"/>
  <c r="R15" i="14" s="1"/>
  <c r="H14" i="14"/>
  <c r="J14" i="14" s="1"/>
  <c r="K14" i="14" s="1"/>
  <c r="O14" i="14" s="1"/>
  <c r="Q14" i="14" s="1"/>
  <c r="R14" i="14" s="1"/>
  <c r="H13" i="14"/>
  <c r="J13" i="14" s="1"/>
  <c r="K13" i="14" s="1"/>
  <c r="O13" i="14" s="1"/>
  <c r="Q13" i="14" s="1"/>
  <c r="R13" i="14" s="1"/>
  <c r="H12" i="14"/>
  <c r="J12" i="14" s="1"/>
  <c r="K12" i="14" s="1"/>
  <c r="O12" i="14" s="1"/>
  <c r="Q12" i="14" s="1"/>
  <c r="R12" i="14" s="1"/>
  <c r="H11" i="14"/>
  <c r="J11" i="14" s="1"/>
  <c r="K11" i="14" s="1"/>
  <c r="O11" i="14" s="1"/>
  <c r="Q11" i="14" s="1"/>
  <c r="R11" i="14" s="1"/>
  <c r="H10" i="14"/>
  <c r="J10" i="14" s="1"/>
  <c r="K10" i="14" s="1"/>
  <c r="O10" i="14" s="1"/>
  <c r="Q10" i="14" s="1"/>
  <c r="R10" i="14" s="1"/>
  <c r="H9" i="14"/>
  <c r="E95" i="10"/>
  <c r="M96" i="10"/>
  <c r="M95" i="10"/>
  <c r="M94" i="10"/>
  <c r="M93" i="10"/>
  <c r="M109" i="10" s="1"/>
  <c r="I95" i="10"/>
  <c r="G95" i="10" s="1"/>
  <c r="F756" i="4"/>
  <c r="F754" i="4"/>
  <c r="F750" i="4"/>
  <c r="F747" i="4"/>
  <c r="F744" i="4"/>
  <c r="F741" i="4"/>
  <c r="H9" i="15"/>
  <c r="J9" i="15" s="1"/>
  <c r="K9" i="15" s="1"/>
  <c r="Q9" i="15" s="1"/>
  <c r="R9" i="15" s="1"/>
  <c r="K62" i="15" l="1"/>
  <c r="E82" i="15"/>
  <c r="E77" i="15"/>
  <c r="H40" i="14"/>
  <c r="J9" i="14"/>
  <c r="K59" i="14"/>
  <c r="K43" i="14"/>
  <c r="K60" i="14"/>
  <c r="R46" i="15"/>
  <c r="Q45" i="15"/>
  <c r="R43" i="15"/>
  <c r="F60" i="15"/>
  <c r="K60" i="15" s="1"/>
  <c r="K64" i="15" s="1"/>
  <c r="K43" i="15"/>
  <c r="P39" i="15"/>
  <c r="N39" i="15"/>
  <c r="M39" i="15"/>
  <c r="L39" i="15"/>
  <c r="I39" i="15"/>
  <c r="G39" i="15"/>
  <c r="F39" i="15"/>
  <c r="E39" i="15"/>
  <c r="D39" i="15"/>
  <c r="C39" i="15"/>
  <c r="H38" i="15"/>
  <c r="J38" i="15" s="1"/>
  <c r="K38" i="15" s="1"/>
  <c r="O38" i="15" s="1"/>
  <c r="Q38" i="15" s="1"/>
  <c r="R38" i="15" s="1"/>
  <c r="H37" i="15"/>
  <c r="J37" i="15" s="1"/>
  <c r="K37" i="15" s="1"/>
  <c r="O37" i="15" s="1"/>
  <c r="Q37" i="15" s="1"/>
  <c r="R37" i="15" s="1"/>
  <c r="H36" i="15"/>
  <c r="J36" i="15" s="1"/>
  <c r="K36" i="15" s="1"/>
  <c r="O36" i="15" s="1"/>
  <c r="Q36" i="15" s="1"/>
  <c r="R36" i="15" s="1"/>
  <c r="H35" i="15"/>
  <c r="J35" i="15" s="1"/>
  <c r="K35" i="15" s="1"/>
  <c r="O35" i="15" s="1"/>
  <c r="Q35" i="15" s="1"/>
  <c r="R35" i="15" s="1"/>
  <c r="H34" i="15"/>
  <c r="J34" i="15" s="1"/>
  <c r="K34" i="15" s="1"/>
  <c r="O34" i="15" s="1"/>
  <c r="Q34" i="15" s="1"/>
  <c r="R34" i="15" s="1"/>
  <c r="H33" i="15"/>
  <c r="J33" i="15" s="1"/>
  <c r="K33" i="15" s="1"/>
  <c r="O33" i="15" s="1"/>
  <c r="Q33" i="15" s="1"/>
  <c r="R33" i="15" s="1"/>
  <c r="H32" i="15"/>
  <c r="J32" i="15" s="1"/>
  <c r="K32" i="15" s="1"/>
  <c r="O32" i="15" s="1"/>
  <c r="Q32" i="15" s="1"/>
  <c r="R32" i="15" s="1"/>
  <c r="H30" i="15"/>
  <c r="J30" i="15" s="1"/>
  <c r="K30" i="15" s="1"/>
  <c r="O30" i="15" s="1"/>
  <c r="Q30" i="15" s="1"/>
  <c r="R30" i="15" s="1"/>
  <c r="H29" i="15"/>
  <c r="J29" i="15" s="1"/>
  <c r="K29" i="15" s="1"/>
  <c r="O29" i="15" s="1"/>
  <c r="Q29" i="15" s="1"/>
  <c r="R29" i="15" s="1"/>
  <c r="H28" i="15"/>
  <c r="J28" i="15" s="1"/>
  <c r="K28" i="15" s="1"/>
  <c r="O28" i="15" s="1"/>
  <c r="Q28" i="15" s="1"/>
  <c r="R28" i="15" s="1"/>
  <c r="H27" i="15"/>
  <c r="J27" i="15" s="1"/>
  <c r="K27" i="15" s="1"/>
  <c r="O27" i="15" s="1"/>
  <c r="Q27" i="15" s="1"/>
  <c r="R27" i="15" s="1"/>
  <c r="H26" i="15"/>
  <c r="J26" i="15" s="1"/>
  <c r="K26" i="15" s="1"/>
  <c r="O26" i="15" s="1"/>
  <c r="Q26" i="15" s="1"/>
  <c r="R26" i="15" s="1"/>
  <c r="H25" i="15"/>
  <c r="J25" i="15" s="1"/>
  <c r="K25" i="15" s="1"/>
  <c r="O25" i="15" s="1"/>
  <c r="Q25" i="15" s="1"/>
  <c r="R25" i="15" s="1"/>
  <c r="H24" i="15"/>
  <c r="J24" i="15" s="1"/>
  <c r="K24" i="15" s="1"/>
  <c r="O24" i="15" s="1"/>
  <c r="Q24" i="15" s="1"/>
  <c r="R24" i="15" s="1"/>
  <c r="H23" i="15"/>
  <c r="J23" i="15" s="1"/>
  <c r="K23" i="15" s="1"/>
  <c r="O23" i="15" s="1"/>
  <c r="Q23" i="15" s="1"/>
  <c r="R23" i="15" s="1"/>
  <c r="H22" i="15"/>
  <c r="J22" i="15" s="1"/>
  <c r="K22" i="15" s="1"/>
  <c r="O22" i="15" s="1"/>
  <c r="Q22" i="15" s="1"/>
  <c r="R22" i="15" s="1"/>
  <c r="H21" i="15"/>
  <c r="J21" i="15" s="1"/>
  <c r="K21" i="15" s="1"/>
  <c r="O21" i="15" s="1"/>
  <c r="Q21" i="15" s="1"/>
  <c r="R21" i="15" s="1"/>
  <c r="H20" i="15"/>
  <c r="J20" i="15" s="1"/>
  <c r="K20" i="15" s="1"/>
  <c r="O20" i="15" s="1"/>
  <c r="Q20" i="15" s="1"/>
  <c r="R20" i="15" s="1"/>
  <c r="H19" i="15"/>
  <c r="J19" i="15" s="1"/>
  <c r="K19" i="15" s="1"/>
  <c r="O19" i="15" s="1"/>
  <c r="Q19" i="15" s="1"/>
  <c r="R19" i="15" s="1"/>
  <c r="H18" i="15"/>
  <c r="J18" i="15" s="1"/>
  <c r="K18" i="15" s="1"/>
  <c r="O18" i="15" s="1"/>
  <c r="Q18" i="15" s="1"/>
  <c r="R18" i="15" s="1"/>
  <c r="H17" i="15"/>
  <c r="J17" i="15" s="1"/>
  <c r="K17" i="15" s="1"/>
  <c r="O17" i="15" s="1"/>
  <c r="Q17" i="15" s="1"/>
  <c r="R17" i="15" s="1"/>
  <c r="H16" i="15"/>
  <c r="J16" i="15" s="1"/>
  <c r="K16" i="15" s="1"/>
  <c r="O16" i="15" s="1"/>
  <c r="Q16" i="15" s="1"/>
  <c r="R16" i="15" s="1"/>
  <c r="H15" i="15"/>
  <c r="J15" i="15" s="1"/>
  <c r="K15" i="15" s="1"/>
  <c r="O15" i="15" s="1"/>
  <c r="Q15" i="15" s="1"/>
  <c r="R15" i="15" s="1"/>
  <c r="H14" i="15"/>
  <c r="J14" i="15" s="1"/>
  <c r="K14" i="15" s="1"/>
  <c r="O14" i="15" s="1"/>
  <c r="Q14" i="15" s="1"/>
  <c r="R14" i="15" s="1"/>
  <c r="H13" i="15"/>
  <c r="J13" i="15" s="1"/>
  <c r="K13" i="15" s="1"/>
  <c r="O13" i="15" s="1"/>
  <c r="Q13" i="15" s="1"/>
  <c r="R13" i="15" s="1"/>
  <c r="H12" i="15"/>
  <c r="J12" i="15" s="1"/>
  <c r="K12" i="15" s="1"/>
  <c r="O12" i="15" s="1"/>
  <c r="Q12" i="15" s="1"/>
  <c r="R12" i="15" s="1"/>
  <c r="H11" i="15"/>
  <c r="J11" i="15" s="1"/>
  <c r="K11" i="15" s="1"/>
  <c r="O11" i="15" s="1"/>
  <c r="Q11" i="15" s="1"/>
  <c r="R11" i="15" s="1"/>
  <c r="H10" i="15"/>
  <c r="J10" i="15" s="1"/>
  <c r="K10" i="15" s="1"/>
  <c r="O10" i="15" s="1"/>
  <c r="Q10" i="15" s="1"/>
  <c r="R10" i="15" s="1"/>
  <c r="H8" i="15"/>
  <c r="I92" i="10"/>
  <c r="H92" i="10"/>
  <c r="E92" i="10"/>
  <c r="F731" i="4"/>
  <c r="I91" i="10"/>
  <c r="E103" i="13"/>
  <c r="E106" i="13"/>
  <c r="G91" i="10"/>
  <c r="N109" i="10"/>
  <c r="M732" i="4"/>
  <c r="M728" i="4"/>
  <c r="F730" i="4"/>
  <c r="F725" i="4"/>
  <c r="F720" i="4"/>
  <c r="F712" i="4"/>
  <c r="F710" i="4"/>
  <c r="F705" i="4"/>
  <c r="F702" i="4"/>
  <c r="F700" i="4"/>
  <c r="F694" i="4"/>
  <c r="F691" i="4"/>
  <c r="F682" i="4"/>
  <c r="F677" i="4"/>
  <c r="F674" i="4"/>
  <c r="F668" i="4"/>
  <c r="F662" i="4"/>
  <c r="F660" i="4"/>
  <c r="F653" i="4"/>
  <c r="F650" i="4"/>
  <c r="F647" i="4"/>
  <c r="F636" i="4"/>
  <c r="F632" i="4"/>
  <c r="F629" i="4"/>
  <c r="F628" i="4"/>
  <c r="F624" i="4"/>
  <c r="F615" i="4"/>
  <c r="F605" i="4"/>
  <c r="F61" i="13"/>
  <c r="K70" i="13"/>
  <c r="K65" i="13"/>
  <c r="K66" i="13" s="1"/>
  <c r="D103" i="13"/>
  <c r="E97" i="13"/>
  <c r="D97" i="13"/>
  <c r="E96" i="13"/>
  <c r="F56" i="13"/>
  <c r="F51" i="13"/>
  <c r="F54" i="13"/>
  <c r="F53" i="13"/>
  <c r="B72" i="13"/>
  <c r="Q57" i="13"/>
  <c r="Q56" i="13"/>
  <c r="M53" i="13"/>
  <c r="L55" i="13"/>
  <c r="K58" i="13"/>
  <c r="U34" i="13"/>
  <c r="U35" i="13" s="1"/>
  <c r="U37" i="13" s="1"/>
  <c r="H86" i="10"/>
  <c r="G86" i="10" s="1"/>
  <c r="F593" i="4"/>
  <c r="F589" i="4"/>
  <c r="F587" i="4"/>
  <c r="F584" i="4"/>
  <c r="F577" i="4"/>
  <c r="F573" i="4"/>
  <c r="F569" i="4"/>
  <c r="G563" i="4"/>
  <c r="F557" i="4"/>
  <c r="F551" i="4"/>
  <c r="F548" i="4"/>
  <c r="F545" i="4"/>
  <c r="F538" i="4"/>
  <c r="F535" i="4"/>
  <c r="H531" i="4"/>
  <c r="H526" i="4"/>
  <c r="H519" i="4"/>
  <c r="H517" i="4"/>
  <c r="H513" i="4"/>
  <c r="D40" i="13"/>
  <c r="E40" i="13"/>
  <c r="F40" i="13"/>
  <c r="G40" i="13"/>
  <c r="I40" i="13"/>
  <c r="P40" i="13"/>
  <c r="N40" i="13"/>
  <c r="M40" i="13"/>
  <c r="L40" i="13"/>
  <c r="C40" i="13"/>
  <c r="H39" i="13"/>
  <c r="J39" i="13" s="1"/>
  <c r="K39" i="13" s="1"/>
  <c r="O39" i="13" s="1"/>
  <c r="Q39" i="13" s="1"/>
  <c r="R39" i="13" s="1"/>
  <c r="H38" i="13"/>
  <c r="J38" i="13" s="1"/>
  <c r="K38" i="13" s="1"/>
  <c r="O38" i="13" s="1"/>
  <c r="Q38" i="13" s="1"/>
  <c r="R38" i="13" s="1"/>
  <c r="H37" i="13"/>
  <c r="J37" i="13" s="1"/>
  <c r="K37" i="13" s="1"/>
  <c r="O37" i="13" s="1"/>
  <c r="Q37" i="13" s="1"/>
  <c r="R37" i="13" s="1"/>
  <c r="H36" i="13"/>
  <c r="J36" i="13" s="1"/>
  <c r="K36" i="13" s="1"/>
  <c r="O36" i="13" s="1"/>
  <c r="Q36" i="13" s="1"/>
  <c r="R36" i="13" s="1"/>
  <c r="H35" i="13"/>
  <c r="J35" i="13" s="1"/>
  <c r="K35" i="13" s="1"/>
  <c r="O35" i="13" s="1"/>
  <c r="Q35" i="13" s="1"/>
  <c r="R35" i="13" s="1"/>
  <c r="H34" i="13"/>
  <c r="J34" i="13" s="1"/>
  <c r="K34" i="13" s="1"/>
  <c r="O34" i="13" s="1"/>
  <c r="Q34" i="13" s="1"/>
  <c r="R34" i="13" s="1"/>
  <c r="H33" i="13"/>
  <c r="J33" i="13" s="1"/>
  <c r="K33" i="13" s="1"/>
  <c r="O33" i="13" s="1"/>
  <c r="Q33" i="13" s="1"/>
  <c r="R33" i="13" s="1"/>
  <c r="H32" i="13"/>
  <c r="J32" i="13" s="1"/>
  <c r="K32" i="13" s="1"/>
  <c r="O32" i="13" s="1"/>
  <c r="Q32" i="13" s="1"/>
  <c r="R32" i="13" s="1"/>
  <c r="H31" i="13"/>
  <c r="J31" i="13" s="1"/>
  <c r="K31" i="13" s="1"/>
  <c r="O31" i="13" s="1"/>
  <c r="Q31" i="13" s="1"/>
  <c r="R31" i="13" s="1"/>
  <c r="H30" i="13"/>
  <c r="J30" i="13" s="1"/>
  <c r="K30" i="13" s="1"/>
  <c r="O30" i="13" s="1"/>
  <c r="Q30" i="13" s="1"/>
  <c r="R30" i="13" s="1"/>
  <c r="H29" i="13"/>
  <c r="J29" i="13" s="1"/>
  <c r="K29" i="13" s="1"/>
  <c r="O29" i="13" s="1"/>
  <c r="Q29" i="13" s="1"/>
  <c r="R29" i="13" s="1"/>
  <c r="H28" i="13"/>
  <c r="J28" i="13" s="1"/>
  <c r="K28" i="13" s="1"/>
  <c r="O28" i="13" s="1"/>
  <c r="Q28" i="13" s="1"/>
  <c r="R28" i="13" s="1"/>
  <c r="H27" i="13"/>
  <c r="H26" i="13"/>
  <c r="J26" i="13" s="1"/>
  <c r="K26" i="13" s="1"/>
  <c r="O26" i="13" s="1"/>
  <c r="Q26" i="13" s="1"/>
  <c r="R26" i="13" s="1"/>
  <c r="H25" i="13"/>
  <c r="J25" i="13" s="1"/>
  <c r="K25" i="13" s="1"/>
  <c r="O25" i="13" s="1"/>
  <c r="Q25" i="13" s="1"/>
  <c r="R25" i="13" s="1"/>
  <c r="H24" i="13"/>
  <c r="J24" i="13" s="1"/>
  <c r="K24" i="13" s="1"/>
  <c r="O24" i="13" s="1"/>
  <c r="Q24" i="13" s="1"/>
  <c r="R24" i="13" s="1"/>
  <c r="H23" i="13"/>
  <c r="J23" i="13" s="1"/>
  <c r="K23" i="13" s="1"/>
  <c r="O23" i="13" s="1"/>
  <c r="Q23" i="13" s="1"/>
  <c r="R23" i="13" s="1"/>
  <c r="H22" i="13"/>
  <c r="J22" i="13" s="1"/>
  <c r="K22" i="13" s="1"/>
  <c r="O22" i="13" s="1"/>
  <c r="Q22" i="13" s="1"/>
  <c r="R22" i="13" s="1"/>
  <c r="H21" i="13"/>
  <c r="J21" i="13" s="1"/>
  <c r="K21" i="13" s="1"/>
  <c r="O21" i="13" s="1"/>
  <c r="Q21" i="13" s="1"/>
  <c r="R21" i="13" s="1"/>
  <c r="H20" i="13"/>
  <c r="J20" i="13" s="1"/>
  <c r="K20" i="13" s="1"/>
  <c r="O20" i="13" s="1"/>
  <c r="Q20" i="13" s="1"/>
  <c r="R20" i="13" s="1"/>
  <c r="H19" i="13"/>
  <c r="J19" i="13" s="1"/>
  <c r="K19" i="13" s="1"/>
  <c r="O19" i="13" s="1"/>
  <c r="Q19" i="13" s="1"/>
  <c r="R19" i="13" s="1"/>
  <c r="H18" i="13"/>
  <c r="J18" i="13" s="1"/>
  <c r="K18" i="13" s="1"/>
  <c r="O18" i="13" s="1"/>
  <c r="Q18" i="13" s="1"/>
  <c r="R18" i="13" s="1"/>
  <c r="H17" i="13"/>
  <c r="J17" i="13" s="1"/>
  <c r="K17" i="13" s="1"/>
  <c r="O17" i="13" s="1"/>
  <c r="Q17" i="13" s="1"/>
  <c r="R17" i="13" s="1"/>
  <c r="H16" i="13"/>
  <c r="J16" i="13" s="1"/>
  <c r="K16" i="13" s="1"/>
  <c r="O16" i="13" s="1"/>
  <c r="Q16" i="13" s="1"/>
  <c r="R16" i="13" s="1"/>
  <c r="H15" i="13"/>
  <c r="J15" i="13" s="1"/>
  <c r="K15" i="13" s="1"/>
  <c r="O15" i="13" s="1"/>
  <c r="Q15" i="13" s="1"/>
  <c r="R15" i="13" s="1"/>
  <c r="H14" i="13"/>
  <c r="J14" i="13" s="1"/>
  <c r="K14" i="13" s="1"/>
  <c r="O14" i="13" s="1"/>
  <c r="Q14" i="13" s="1"/>
  <c r="R14" i="13" s="1"/>
  <c r="H13" i="13"/>
  <c r="J13" i="13" s="1"/>
  <c r="K13" i="13" s="1"/>
  <c r="O13" i="13" s="1"/>
  <c r="Q13" i="13" s="1"/>
  <c r="R13" i="13" s="1"/>
  <c r="H12" i="13"/>
  <c r="J12" i="13" s="1"/>
  <c r="K12" i="13" s="1"/>
  <c r="O12" i="13" s="1"/>
  <c r="Q12" i="13" s="1"/>
  <c r="R12" i="13" s="1"/>
  <c r="H11" i="13"/>
  <c r="J11" i="13" s="1"/>
  <c r="K11" i="13" s="1"/>
  <c r="O11" i="13" s="1"/>
  <c r="Q11" i="13" s="1"/>
  <c r="R11" i="13" s="1"/>
  <c r="H10" i="13"/>
  <c r="J10" i="13" s="1"/>
  <c r="K10" i="13" s="1"/>
  <c r="O10" i="13" s="1"/>
  <c r="Q10" i="13" s="1"/>
  <c r="R10" i="13" s="1"/>
  <c r="H9" i="13"/>
  <c r="J9" i="13" s="1"/>
  <c r="K9" i="13" s="1"/>
  <c r="Q31" i="12"/>
  <c r="D80" i="10"/>
  <c r="N74" i="10"/>
  <c r="G92" i="10" l="1"/>
  <c r="K63" i="14"/>
  <c r="K66" i="14" s="1"/>
  <c r="K76" i="14" s="1"/>
  <c r="K45" i="14"/>
  <c r="J40" i="14"/>
  <c r="K9" i="14"/>
  <c r="H39" i="15"/>
  <c r="J8" i="15"/>
  <c r="R47" i="15"/>
  <c r="K42" i="15"/>
  <c r="R48" i="15"/>
  <c r="K71" i="13"/>
  <c r="E104" i="13"/>
  <c r="K64" i="13"/>
  <c r="E98" i="13"/>
  <c r="K43" i="13"/>
  <c r="K59" i="13"/>
  <c r="K60" i="13" s="1"/>
  <c r="J27" i="13"/>
  <c r="H40" i="13"/>
  <c r="K27" i="13"/>
  <c r="O27" i="13" s="1"/>
  <c r="Q27" i="13" s="1"/>
  <c r="R27" i="13" s="1"/>
  <c r="J40" i="13"/>
  <c r="K40" i="13"/>
  <c r="O9" i="13"/>
  <c r="H70" i="10"/>
  <c r="H506" i="4"/>
  <c r="H500" i="4"/>
  <c r="H489" i="4"/>
  <c r="H484" i="4"/>
  <c r="H474" i="4"/>
  <c r="H471" i="4"/>
  <c r="H470" i="4"/>
  <c r="H466" i="4"/>
  <c r="H462" i="4"/>
  <c r="H460" i="4"/>
  <c r="H451" i="4"/>
  <c r="H446" i="4"/>
  <c r="H439" i="4"/>
  <c r="P38" i="12"/>
  <c r="N38" i="12"/>
  <c r="M38" i="12"/>
  <c r="L38" i="12"/>
  <c r="H33" i="12"/>
  <c r="J33" i="12" s="1"/>
  <c r="K33" i="12" s="1"/>
  <c r="O33" i="12" s="1"/>
  <c r="Q33" i="12" s="1"/>
  <c r="R33" i="12" s="1"/>
  <c r="H34" i="12"/>
  <c r="J34" i="12" s="1"/>
  <c r="K34" i="12" s="1"/>
  <c r="O34" i="12" s="1"/>
  <c r="Q34" i="12" s="1"/>
  <c r="R34" i="12" s="1"/>
  <c r="H35" i="12"/>
  <c r="J35" i="12" s="1"/>
  <c r="K35" i="12" s="1"/>
  <c r="O35" i="12" s="1"/>
  <c r="Q35" i="12" s="1"/>
  <c r="R35" i="12" s="1"/>
  <c r="H36" i="12"/>
  <c r="J36" i="12" s="1"/>
  <c r="K36" i="12" s="1"/>
  <c r="O36" i="12" s="1"/>
  <c r="Q36" i="12" s="1"/>
  <c r="R36" i="12" s="1"/>
  <c r="H37" i="12"/>
  <c r="J37" i="12" s="1"/>
  <c r="K37" i="12" s="1"/>
  <c r="O37" i="12" s="1"/>
  <c r="Q37" i="12" s="1"/>
  <c r="R37" i="12" s="1"/>
  <c r="F52" i="12"/>
  <c r="K42" i="12"/>
  <c r="K41" i="12"/>
  <c r="K43" i="12" s="1"/>
  <c r="C38" i="12"/>
  <c r="H32" i="12"/>
  <c r="J32" i="12" s="1"/>
  <c r="K32" i="12" s="1"/>
  <c r="O32" i="12" s="1"/>
  <c r="H31" i="12"/>
  <c r="J31" i="12" s="1"/>
  <c r="K31" i="12" s="1"/>
  <c r="O31" i="12" s="1"/>
  <c r="R31" i="12" s="1"/>
  <c r="H30" i="12"/>
  <c r="J30" i="12" s="1"/>
  <c r="K30" i="12" s="1"/>
  <c r="O30" i="12" s="1"/>
  <c r="Q30" i="12" s="1"/>
  <c r="R30" i="12" s="1"/>
  <c r="H29" i="12"/>
  <c r="J29" i="12" s="1"/>
  <c r="K29" i="12" s="1"/>
  <c r="O29" i="12" s="1"/>
  <c r="Q29" i="12" s="1"/>
  <c r="R29" i="12" s="1"/>
  <c r="H28" i="12"/>
  <c r="J28" i="12" s="1"/>
  <c r="K28" i="12" s="1"/>
  <c r="O28" i="12" s="1"/>
  <c r="Q28" i="12" s="1"/>
  <c r="R28" i="12" s="1"/>
  <c r="H27" i="12"/>
  <c r="J27" i="12" s="1"/>
  <c r="K27" i="12" s="1"/>
  <c r="O27" i="12" s="1"/>
  <c r="Q27" i="12" s="1"/>
  <c r="R27" i="12" s="1"/>
  <c r="H26" i="12"/>
  <c r="J26" i="12" s="1"/>
  <c r="K26" i="12" s="1"/>
  <c r="O26" i="12" s="1"/>
  <c r="Q26" i="12" s="1"/>
  <c r="R26" i="12" s="1"/>
  <c r="H25" i="12"/>
  <c r="J25" i="12" s="1"/>
  <c r="K25" i="12" s="1"/>
  <c r="O25" i="12" s="1"/>
  <c r="Q25" i="12" s="1"/>
  <c r="R25" i="12" s="1"/>
  <c r="H24" i="12"/>
  <c r="J24" i="12" s="1"/>
  <c r="K24" i="12" s="1"/>
  <c r="O24" i="12" s="1"/>
  <c r="Q24" i="12" s="1"/>
  <c r="R24" i="12" s="1"/>
  <c r="H23" i="12"/>
  <c r="J23" i="12" s="1"/>
  <c r="K23" i="12" s="1"/>
  <c r="O23" i="12" s="1"/>
  <c r="Q23" i="12" s="1"/>
  <c r="R23" i="12" s="1"/>
  <c r="H22" i="12"/>
  <c r="J22" i="12" s="1"/>
  <c r="K22" i="12" s="1"/>
  <c r="O22" i="12" s="1"/>
  <c r="Q22" i="12" s="1"/>
  <c r="R22" i="12" s="1"/>
  <c r="H21" i="12"/>
  <c r="J21" i="12" s="1"/>
  <c r="K21" i="12" s="1"/>
  <c r="O21" i="12" s="1"/>
  <c r="Q21" i="12" s="1"/>
  <c r="R21" i="12" s="1"/>
  <c r="H20" i="12"/>
  <c r="J20" i="12" s="1"/>
  <c r="K20" i="12" s="1"/>
  <c r="O20" i="12" s="1"/>
  <c r="Q20" i="12" s="1"/>
  <c r="R20" i="12" s="1"/>
  <c r="H19" i="12"/>
  <c r="J19" i="12" s="1"/>
  <c r="K19" i="12" s="1"/>
  <c r="O19" i="12" s="1"/>
  <c r="Q19" i="12" s="1"/>
  <c r="R19" i="12" s="1"/>
  <c r="H18" i="12"/>
  <c r="J18" i="12" s="1"/>
  <c r="K18" i="12" s="1"/>
  <c r="O18" i="12" s="1"/>
  <c r="Q18" i="12" s="1"/>
  <c r="R18" i="12" s="1"/>
  <c r="H17" i="12"/>
  <c r="J17" i="12" s="1"/>
  <c r="K17" i="12" s="1"/>
  <c r="O17" i="12" s="1"/>
  <c r="Q17" i="12" s="1"/>
  <c r="R17" i="12" s="1"/>
  <c r="H16" i="12"/>
  <c r="J16" i="12" s="1"/>
  <c r="K16" i="12" s="1"/>
  <c r="O16" i="12" s="1"/>
  <c r="Q16" i="12" s="1"/>
  <c r="R16" i="12" s="1"/>
  <c r="H15" i="12"/>
  <c r="J15" i="12" s="1"/>
  <c r="K15" i="12" s="1"/>
  <c r="O15" i="12" s="1"/>
  <c r="Q15" i="12" s="1"/>
  <c r="R15" i="12" s="1"/>
  <c r="H14" i="12"/>
  <c r="J14" i="12" s="1"/>
  <c r="K14" i="12" s="1"/>
  <c r="O14" i="12" s="1"/>
  <c r="Q14" i="12" s="1"/>
  <c r="R14" i="12" s="1"/>
  <c r="H13" i="12"/>
  <c r="J13" i="12" s="1"/>
  <c r="K13" i="12" s="1"/>
  <c r="O13" i="12" s="1"/>
  <c r="Q13" i="12" s="1"/>
  <c r="R13" i="12" s="1"/>
  <c r="H12" i="12"/>
  <c r="J12" i="12" s="1"/>
  <c r="K12" i="12" s="1"/>
  <c r="O12" i="12" s="1"/>
  <c r="Q12" i="12" s="1"/>
  <c r="R12" i="12" s="1"/>
  <c r="H11" i="12"/>
  <c r="J11" i="12" s="1"/>
  <c r="K11" i="12" s="1"/>
  <c r="O11" i="12" s="1"/>
  <c r="Q11" i="12" s="1"/>
  <c r="R11" i="12" s="1"/>
  <c r="H10" i="12"/>
  <c r="J10" i="12" s="1"/>
  <c r="K10" i="12" s="1"/>
  <c r="O10" i="12" s="1"/>
  <c r="Q10" i="12" s="1"/>
  <c r="R10" i="12" s="1"/>
  <c r="H9" i="12"/>
  <c r="J9" i="12" s="1"/>
  <c r="K9" i="12" s="1"/>
  <c r="O9" i="12" s="1"/>
  <c r="Q9" i="12" s="1"/>
  <c r="R9" i="12" s="1"/>
  <c r="H8" i="12"/>
  <c r="J8" i="12" s="1"/>
  <c r="K8" i="12" s="1"/>
  <c r="O8" i="12" s="1"/>
  <c r="Q8" i="12" s="1"/>
  <c r="R8" i="12" s="1"/>
  <c r="H7" i="12"/>
  <c r="J7" i="12" s="1"/>
  <c r="K7" i="12" s="1"/>
  <c r="K38" i="12" s="1"/>
  <c r="I434" i="4"/>
  <c r="I425" i="4"/>
  <c r="I422" i="4"/>
  <c r="I419" i="4"/>
  <c r="I416" i="4"/>
  <c r="I409" i="4"/>
  <c r="I406" i="4"/>
  <c r="I401" i="4"/>
  <c r="I397" i="4"/>
  <c r="I396" i="4"/>
  <c r="I399" i="4"/>
  <c r="I378" i="4"/>
  <c r="P27" i="10"/>
  <c r="I372" i="4"/>
  <c r="I367" i="4"/>
  <c r="I364" i="4"/>
  <c r="I358" i="4"/>
  <c r="I351" i="4"/>
  <c r="I346" i="4"/>
  <c r="P19" i="10"/>
  <c r="F87" i="8"/>
  <c r="D87" i="8"/>
  <c r="AB14" i="11"/>
  <c r="I343" i="4"/>
  <c r="P12" i="10"/>
  <c r="E19" i="10" s="1"/>
  <c r="E20" i="10" s="1"/>
  <c r="P13" i="10"/>
  <c r="Q18" i="10"/>
  <c r="Q19" i="10"/>
  <c r="Q20" i="10"/>
  <c r="Q21" i="10"/>
  <c r="Q22" i="10"/>
  <c r="Q23" i="10"/>
  <c r="Q24" i="10"/>
  <c r="Q25" i="10"/>
  <c r="Q26" i="10"/>
  <c r="Q27" i="10"/>
  <c r="Q28" i="10"/>
  <c r="Q29" i="10"/>
  <c r="Q30" i="10"/>
  <c r="Q31" i="10"/>
  <c r="Q32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R33" i="10"/>
  <c r="Q11" i="10"/>
  <c r="I340" i="4"/>
  <c r="I338" i="4"/>
  <c r="I333" i="4"/>
  <c r="I329" i="4"/>
  <c r="I322" i="4"/>
  <c r="I313" i="4"/>
  <c r="P11" i="10"/>
  <c r="P10" i="10"/>
  <c r="P9" i="10"/>
  <c r="K40" i="14" l="1"/>
  <c r="O9" i="14"/>
  <c r="K53" i="15"/>
  <c r="K56" i="15" s="1"/>
  <c r="K66" i="15" s="1"/>
  <c r="K44" i="15"/>
  <c r="J39" i="15"/>
  <c r="K8" i="15"/>
  <c r="K44" i="13"/>
  <c r="K69" i="13"/>
  <c r="K73" i="13" s="1"/>
  <c r="K76" i="13" s="1"/>
  <c r="K45" i="13"/>
  <c r="K63" i="13"/>
  <c r="H71" i="10"/>
  <c r="H80" i="10" s="1"/>
  <c r="G80" i="10" s="1"/>
  <c r="G70" i="10"/>
  <c r="O40" i="13"/>
  <c r="K48" i="13" s="1"/>
  <c r="Q9" i="13"/>
  <c r="Q32" i="12"/>
  <c r="R32" i="12" s="1"/>
  <c r="E17" i="10"/>
  <c r="G17" i="10" s="1"/>
  <c r="P33" i="10"/>
  <c r="E21" i="10"/>
  <c r="G21" i="10" s="1"/>
  <c r="O7" i="12"/>
  <c r="O38" i="12" s="1"/>
  <c r="Q9" i="10"/>
  <c r="Q10" i="10"/>
  <c r="Q12" i="10"/>
  <c r="Q13" i="10"/>
  <c r="Q14" i="10"/>
  <c r="Q15" i="10"/>
  <c r="Q16" i="10"/>
  <c r="Q17" i="10"/>
  <c r="O9" i="10"/>
  <c r="O10" i="10"/>
  <c r="O11" i="10"/>
  <c r="O12" i="10"/>
  <c r="O13" i="10"/>
  <c r="O14" i="10"/>
  <c r="O15" i="10"/>
  <c r="O16" i="10"/>
  <c r="O17" i="10"/>
  <c r="M34" i="11"/>
  <c r="F48" i="11"/>
  <c r="K38" i="11"/>
  <c r="P34" i="11"/>
  <c r="K37" i="11" s="1"/>
  <c r="K39" i="11" s="1"/>
  <c r="N34" i="11"/>
  <c r="L34" i="11"/>
  <c r="C34" i="11"/>
  <c r="H33" i="11"/>
  <c r="J33" i="11" s="1"/>
  <c r="K33" i="11" s="1"/>
  <c r="O33" i="11" s="1"/>
  <c r="Q33" i="11" s="1"/>
  <c r="R33" i="11" s="1"/>
  <c r="H32" i="11"/>
  <c r="J32" i="11" s="1"/>
  <c r="K32" i="11" s="1"/>
  <c r="O32" i="11" s="1"/>
  <c r="Q32" i="11" s="1"/>
  <c r="R32" i="11" s="1"/>
  <c r="H31" i="11"/>
  <c r="J31" i="11" s="1"/>
  <c r="K31" i="11" s="1"/>
  <c r="O31" i="11" s="1"/>
  <c r="Q31" i="11" s="1"/>
  <c r="R31" i="11" s="1"/>
  <c r="H30" i="11"/>
  <c r="J30" i="11" s="1"/>
  <c r="K30" i="11" s="1"/>
  <c r="O30" i="11" s="1"/>
  <c r="Q30" i="11" s="1"/>
  <c r="R30" i="11" s="1"/>
  <c r="H29" i="11"/>
  <c r="J29" i="11" s="1"/>
  <c r="K29" i="11" s="1"/>
  <c r="O29" i="11" s="1"/>
  <c r="Q29" i="11" s="1"/>
  <c r="R29" i="11" s="1"/>
  <c r="H28" i="11"/>
  <c r="J28" i="11" s="1"/>
  <c r="K28" i="11" s="1"/>
  <c r="O28" i="11" s="1"/>
  <c r="Q28" i="11" s="1"/>
  <c r="R28" i="11" s="1"/>
  <c r="H27" i="11"/>
  <c r="J27" i="11" s="1"/>
  <c r="K27" i="11" s="1"/>
  <c r="O27" i="11" s="1"/>
  <c r="Q27" i="11" s="1"/>
  <c r="R27" i="11" s="1"/>
  <c r="H26" i="11"/>
  <c r="J26" i="11" s="1"/>
  <c r="K26" i="11" s="1"/>
  <c r="O26" i="11" s="1"/>
  <c r="Q26" i="11" s="1"/>
  <c r="R26" i="11" s="1"/>
  <c r="H25" i="11"/>
  <c r="J25" i="11" s="1"/>
  <c r="K25" i="11" s="1"/>
  <c r="O25" i="11" s="1"/>
  <c r="Q25" i="11" s="1"/>
  <c r="R25" i="11" s="1"/>
  <c r="H24" i="11"/>
  <c r="J24" i="11" s="1"/>
  <c r="K24" i="11" s="1"/>
  <c r="O24" i="11" s="1"/>
  <c r="Q24" i="11" s="1"/>
  <c r="R24" i="11" s="1"/>
  <c r="H23" i="11"/>
  <c r="J23" i="11" s="1"/>
  <c r="K23" i="11" s="1"/>
  <c r="O23" i="11" s="1"/>
  <c r="Q23" i="11" s="1"/>
  <c r="R23" i="11" s="1"/>
  <c r="H22" i="11"/>
  <c r="J22" i="11" s="1"/>
  <c r="K22" i="11" s="1"/>
  <c r="O22" i="11" s="1"/>
  <c r="Q22" i="11" s="1"/>
  <c r="R22" i="11" s="1"/>
  <c r="H21" i="11"/>
  <c r="J21" i="11" s="1"/>
  <c r="K21" i="11" s="1"/>
  <c r="O21" i="11" s="1"/>
  <c r="Q21" i="11" s="1"/>
  <c r="R21" i="11" s="1"/>
  <c r="H20" i="11"/>
  <c r="J20" i="11" s="1"/>
  <c r="K20" i="11" s="1"/>
  <c r="O20" i="11" s="1"/>
  <c r="Q20" i="11" s="1"/>
  <c r="R20" i="11" s="1"/>
  <c r="H19" i="11"/>
  <c r="J19" i="11" s="1"/>
  <c r="K19" i="11" s="1"/>
  <c r="O19" i="11" s="1"/>
  <c r="Q19" i="11" s="1"/>
  <c r="R19" i="11" s="1"/>
  <c r="H18" i="11"/>
  <c r="J18" i="11" s="1"/>
  <c r="K18" i="11" s="1"/>
  <c r="O18" i="11" s="1"/>
  <c r="Q18" i="11" s="1"/>
  <c r="R18" i="11" s="1"/>
  <c r="H17" i="11"/>
  <c r="J17" i="11" s="1"/>
  <c r="K17" i="11" s="1"/>
  <c r="O17" i="11" s="1"/>
  <c r="Q17" i="11" s="1"/>
  <c r="R17" i="11" s="1"/>
  <c r="H16" i="11"/>
  <c r="J16" i="11" s="1"/>
  <c r="K16" i="11" s="1"/>
  <c r="O16" i="11" s="1"/>
  <c r="Q16" i="11" s="1"/>
  <c r="R16" i="11" s="1"/>
  <c r="H15" i="11"/>
  <c r="J15" i="11" s="1"/>
  <c r="K15" i="11" s="1"/>
  <c r="O15" i="11" s="1"/>
  <c r="Q15" i="11" s="1"/>
  <c r="R15" i="11" s="1"/>
  <c r="H14" i="11"/>
  <c r="J14" i="11" s="1"/>
  <c r="K14" i="11" s="1"/>
  <c r="O14" i="11" s="1"/>
  <c r="Q14" i="11" s="1"/>
  <c r="R14" i="11" s="1"/>
  <c r="H13" i="11"/>
  <c r="J13" i="11" s="1"/>
  <c r="K13" i="11" s="1"/>
  <c r="O13" i="11" s="1"/>
  <c r="Q13" i="11" s="1"/>
  <c r="R13" i="11" s="1"/>
  <c r="H12" i="11"/>
  <c r="J12" i="11" s="1"/>
  <c r="K12" i="11" s="1"/>
  <c r="O12" i="11" s="1"/>
  <c r="Q12" i="11" s="1"/>
  <c r="R12" i="11" s="1"/>
  <c r="H11" i="11"/>
  <c r="J11" i="11" s="1"/>
  <c r="K11" i="11" s="1"/>
  <c r="O11" i="11" s="1"/>
  <c r="Q11" i="11" s="1"/>
  <c r="R11" i="11" s="1"/>
  <c r="H10" i="11"/>
  <c r="J10" i="11" s="1"/>
  <c r="K10" i="11" s="1"/>
  <c r="O10" i="11" s="1"/>
  <c r="Q10" i="11" s="1"/>
  <c r="R10" i="11" s="1"/>
  <c r="H9" i="11"/>
  <c r="J9" i="11" s="1"/>
  <c r="K9" i="11" s="1"/>
  <c r="O9" i="11" s="1"/>
  <c r="Q9" i="11" s="1"/>
  <c r="R9" i="11" s="1"/>
  <c r="H8" i="11"/>
  <c r="J8" i="11" s="1"/>
  <c r="K8" i="11" s="1"/>
  <c r="O8" i="11" s="1"/>
  <c r="Q8" i="11" s="1"/>
  <c r="R8" i="11" s="1"/>
  <c r="H7" i="11"/>
  <c r="J7" i="11" s="1"/>
  <c r="K7" i="11" s="1"/>
  <c r="F16" i="10"/>
  <c r="Q8" i="10"/>
  <c r="O8" i="10"/>
  <c r="J8" i="10"/>
  <c r="N35" i="8"/>
  <c r="N13" i="8"/>
  <c r="O40" i="14" l="1"/>
  <c r="K48" i="14" s="1"/>
  <c r="Q9" i="14"/>
  <c r="K39" i="15"/>
  <c r="O8" i="15"/>
  <c r="K49" i="13"/>
  <c r="K54" i="13"/>
  <c r="Q40" i="13"/>
  <c r="R9" i="13"/>
  <c r="R40" i="13" s="1"/>
  <c r="E50" i="10"/>
  <c r="G50" i="10" s="1"/>
  <c r="E48" i="10"/>
  <c r="G48" i="10" s="1"/>
  <c r="K46" i="12"/>
  <c r="K47" i="12" s="1"/>
  <c r="Q7" i="12"/>
  <c r="Q38" i="12" s="1"/>
  <c r="K34" i="11"/>
  <c r="O7" i="11"/>
  <c r="I36" i="9"/>
  <c r="M37" i="9"/>
  <c r="D37" i="9"/>
  <c r="F66" i="8"/>
  <c r="H66" i="8"/>
  <c r="G66" i="8"/>
  <c r="D66" i="8"/>
  <c r="N36" i="8"/>
  <c r="G64" i="8"/>
  <c r="Q40" i="14" l="1"/>
  <c r="R9" i="14"/>
  <c r="R40" i="14" s="1"/>
  <c r="K54" i="14"/>
  <c r="K49" i="14"/>
  <c r="O39" i="15"/>
  <c r="K47" i="15" s="1"/>
  <c r="Q8" i="15"/>
  <c r="K55" i="13"/>
  <c r="M55" i="13" s="1"/>
  <c r="M54" i="13"/>
  <c r="R7" i="12"/>
  <c r="R38" i="12" s="1"/>
  <c r="H70" i="8"/>
  <c r="F64" i="8"/>
  <c r="O34" i="11"/>
  <c r="K42" i="11" s="1"/>
  <c r="K43" i="11" s="1"/>
  <c r="Q7" i="11"/>
  <c r="I312" i="4"/>
  <c r="O37" i="9"/>
  <c r="K55" i="14" l="1"/>
  <c r="M55" i="14" s="1"/>
  <c r="M54" i="14"/>
  <c r="Q39" i="15"/>
  <c r="R8" i="15"/>
  <c r="R39" i="15" s="1"/>
  <c r="P44" i="15"/>
  <c r="K48" i="15"/>
  <c r="Q34" i="11"/>
  <c r="R7" i="11"/>
  <c r="R34" i="11" s="1"/>
  <c r="L38" i="8"/>
  <c r="P38" i="8"/>
  <c r="K38" i="8"/>
  <c r="N34" i="8"/>
  <c r="I301" i="4"/>
  <c r="I296" i="4"/>
  <c r="I281" i="4"/>
  <c r="I270" i="4"/>
  <c r="I278" i="4"/>
  <c r="I266" i="4"/>
  <c r="N26" i="8"/>
  <c r="N25" i="8"/>
  <c r="D47" i="8" s="1"/>
  <c r="F47" i="8" s="1"/>
  <c r="K43" i="8"/>
  <c r="K44" i="8" s="1"/>
  <c r="N21" i="8"/>
  <c r="P20" i="9"/>
  <c r="H33" i="8"/>
  <c r="N20" i="8"/>
  <c r="N19" i="8"/>
  <c r="N18" i="8"/>
  <c r="D30" i="8" s="1"/>
  <c r="F30" i="8" s="1"/>
  <c r="G26" i="8"/>
  <c r="D26" i="8"/>
  <c r="S20" i="8"/>
  <c r="S22" i="8" s="1"/>
  <c r="S11" i="8"/>
  <c r="G24" i="8"/>
  <c r="N15" i="8"/>
  <c r="D24" i="8" s="1"/>
  <c r="H23" i="8"/>
  <c r="G22" i="8"/>
  <c r="D22" i="8"/>
  <c r="U13" i="2"/>
  <c r="H21" i="8"/>
  <c r="D20" i="8"/>
  <c r="F20" i="8" s="1"/>
  <c r="H19" i="8"/>
  <c r="D76" i="8"/>
  <c r="D78" i="8" s="1"/>
  <c r="D8" i="8"/>
  <c r="P45" i="15" l="1"/>
  <c r="R45" i="15" s="1"/>
  <c r="R44" i="15"/>
  <c r="D32" i="8"/>
  <c r="H34" i="8"/>
  <c r="F22" i="8"/>
  <c r="F24" i="8"/>
  <c r="S25" i="8" s="1"/>
  <c r="U17" i="8"/>
  <c r="S14" i="8"/>
  <c r="F26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N12" i="8"/>
  <c r="N11" i="8"/>
  <c r="N38" i="8" s="1"/>
  <c r="H15" i="8"/>
  <c r="G14" i="8"/>
  <c r="D14" i="8"/>
  <c r="M18" i="8"/>
  <c r="M19" i="8"/>
  <c r="M20" i="8"/>
  <c r="M21" i="8"/>
  <c r="M22" i="8"/>
  <c r="M23" i="8"/>
  <c r="M8" i="8"/>
  <c r="M9" i="8"/>
  <c r="M10" i="8"/>
  <c r="C14" i="8" s="1"/>
  <c r="M11" i="8"/>
  <c r="M12" i="8"/>
  <c r="M13" i="8"/>
  <c r="M14" i="8"/>
  <c r="M15" i="8"/>
  <c r="M16" i="8"/>
  <c r="M17" i="8"/>
  <c r="H13" i="8"/>
  <c r="H14" i="8" s="1"/>
  <c r="F14" i="8" s="1"/>
  <c r="D12" i="8"/>
  <c r="F12" i="8" s="1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8" i="8"/>
  <c r="H11" i="8"/>
  <c r="D10" i="8"/>
  <c r="F10" i="8" s="1"/>
  <c r="G51" i="9"/>
  <c r="L41" i="9"/>
  <c r="K36" i="9"/>
  <c r="L36" i="9" s="1"/>
  <c r="I35" i="9"/>
  <c r="K35" i="9" s="1"/>
  <c r="L35" i="9" s="1"/>
  <c r="P35" i="9" s="1"/>
  <c r="R35" i="9" s="1"/>
  <c r="S35" i="9" s="1"/>
  <c r="I34" i="9"/>
  <c r="K34" i="9" s="1"/>
  <c r="L34" i="9" s="1"/>
  <c r="P34" i="9" s="1"/>
  <c r="R34" i="9" s="1"/>
  <c r="S34" i="9" s="1"/>
  <c r="I33" i="9"/>
  <c r="K33" i="9" s="1"/>
  <c r="L33" i="9" s="1"/>
  <c r="P33" i="9" s="1"/>
  <c r="R33" i="9" s="1"/>
  <c r="S33" i="9" s="1"/>
  <c r="I32" i="9"/>
  <c r="K32" i="9" s="1"/>
  <c r="L32" i="9" s="1"/>
  <c r="P32" i="9" s="1"/>
  <c r="R32" i="9" s="1"/>
  <c r="S32" i="9" s="1"/>
  <c r="I31" i="9"/>
  <c r="K31" i="9" s="1"/>
  <c r="L31" i="9" s="1"/>
  <c r="P31" i="9" s="1"/>
  <c r="R31" i="9" s="1"/>
  <c r="S31" i="9" s="1"/>
  <c r="I30" i="9"/>
  <c r="K30" i="9" s="1"/>
  <c r="L30" i="9" s="1"/>
  <c r="P30" i="9" s="1"/>
  <c r="R30" i="9" s="1"/>
  <c r="S30" i="9" s="1"/>
  <c r="I29" i="9"/>
  <c r="K29" i="9" s="1"/>
  <c r="L29" i="9" s="1"/>
  <c r="P29" i="9" s="1"/>
  <c r="I28" i="9"/>
  <c r="K28" i="9" s="1"/>
  <c r="L28" i="9" s="1"/>
  <c r="P28" i="9" s="1"/>
  <c r="R28" i="9" s="1"/>
  <c r="S28" i="9" s="1"/>
  <c r="I27" i="9"/>
  <c r="K27" i="9" s="1"/>
  <c r="L27" i="9" s="1"/>
  <c r="P27" i="9" s="1"/>
  <c r="R27" i="9" s="1"/>
  <c r="S27" i="9" s="1"/>
  <c r="I26" i="9"/>
  <c r="K26" i="9" s="1"/>
  <c r="L26" i="9" s="1"/>
  <c r="P26" i="9" s="1"/>
  <c r="R26" i="9" s="1"/>
  <c r="S26" i="9" s="1"/>
  <c r="I25" i="9"/>
  <c r="K25" i="9" s="1"/>
  <c r="L25" i="9" s="1"/>
  <c r="P25" i="9" s="1"/>
  <c r="R25" i="9" s="1"/>
  <c r="S25" i="9" s="1"/>
  <c r="I24" i="9"/>
  <c r="K24" i="9" s="1"/>
  <c r="L24" i="9" s="1"/>
  <c r="P24" i="9" s="1"/>
  <c r="R24" i="9" s="1"/>
  <c r="S24" i="9" s="1"/>
  <c r="I23" i="9"/>
  <c r="K23" i="9" s="1"/>
  <c r="L23" i="9" s="1"/>
  <c r="P23" i="9" s="1"/>
  <c r="R23" i="9" s="1"/>
  <c r="S23" i="9" s="1"/>
  <c r="I22" i="9"/>
  <c r="K22" i="9" s="1"/>
  <c r="L22" i="9" s="1"/>
  <c r="P22" i="9" s="1"/>
  <c r="R22" i="9" s="1"/>
  <c r="S22" i="9" s="1"/>
  <c r="I21" i="9"/>
  <c r="K21" i="9" s="1"/>
  <c r="L21" i="9" s="1"/>
  <c r="P21" i="9" s="1"/>
  <c r="R21" i="9" s="1"/>
  <c r="S21" i="9" s="1"/>
  <c r="I20" i="9"/>
  <c r="K20" i="9" s="1"/>
  <c r="L20" i="9" s="1"/>
  <c r="R20" i="9" s="1"/>
  <c r="S20" i="9" s="1"/>
  <c r="I19" i="9"/>
  <c r="K19" i="9" s="1"/>
  <c r="L19" i="9" s="1"/>
  <c r="P19" i="9" s="1"/>
  <c r="R19" i="9" s="1"/>
  <c r="S19" i="9" s="1"/>
  <c r="I18" i="9"/>
  <c r="K18" i="9" s="1"/>
  <c r="L18" i="9" s="1"/>
  <c r="P18" i="9" s="1"/>
  <c r="R18" i="9" s="1"/>
  <c r="S18" i="9" s="1"/>
  <c r="I17" i="9"/>
  <c r="K17" i="9" s="1"/>
  <c r="L17" i="9" s="1"/>
  <c r="P17" i="9" s="1"/>
  <c r="R17" i="9" s="1"/>
  <c r="S17" i="9" s="1"/>
  <c r="I16" i="9"/>
  <c r="K16" i="9" s="1"/>
  <c r="L16" i="9" s="1"/>
  <c r="P16" i="9" s="1"/>
  <c r="R16" i="9" s="1"/>
  <c r="S16" i="9" s="1"/>
  <c r="I15" i="9"/>
  <c r="K15" i="9" s="1"/>
  <c r="L15" i="9" s="1"/>
  <c r="P15" i="9" s="1"/>
  <c r="R15" i="9" s="1"/>
  <c r="S15" i="9" s="1"/>
  <c r="I14" i="9"/>
  <c r="K14" i="9" s="1"/>
  <c r="L14" i="9" s="1"/>
  <c r="P14" i="9" s="1"/>
  <c r="R14" i="9" s="1"/>
  <c r="S14" i="9" s="1"/>
  <c r="I13" i="9"/>
  <c r="K13" i="9" s="1"/>
  <c r="L13" i="9" s="1"/>
  <c r="P13" i="9" s="1"/>
  <c r="I12" i="9"/>
  <c r="K12" i="9" s="1"/>
  <c r="L12" i="9" s="1"/>
  <c r="P12" i="9" s="1"/>
  <c r="R12" i="9" s="1"/>
  <c r="S12" i="9" s="1"/>
  <c r="I11" i="9"/>
  <c r="K11" i="9" s="1"/>
  <c r="L11" i="9" s="1"/>
  <c r="P11" i="9" s="1"/>
  <c r="R11" i="9" s="1"/>
  <c r="S11" i="9" s="1"/>
  <c r="I10" i="9"/>
  <c r="K10" i="9" s="1"/>
  <c r="L10" i="9" s="1"/>
  <c r="P10" i="9" s="1"/>
  <c r="R10" i="9" s="1"/>
  <c r="S10" i="9" s="1"/>
  <c r="I9" i="9"/>
  <c r="K9" i="9" s="1"/>
  <c r="L9" i="9" s="1"/>
  <c r="P9" i="9" s="1"/>
  <c r="R9" i="9" s="1"/>
  <c r="S9" i="9" s="1"/>
  <c r="I8" i="9"/>
  <c r="K8" i="9" s="1"/>
  <c r="L8" i="9" s="1"/>
  <c r="P8" i="9" s="1"/>
  <c r="R8" i="9" s="1"/>
  <c r="S8" i="9" s="1"/>
  <c r="I7" i="9"/>
  <c r="K7" i="9" s="1"/>
  <c r="L7" i="9" s="1"/>
  <c r="H9" i="8"/>
  <c r="F41" i="5"/>
  <c r="H41" i="5"/>
  <c r="G8" i="8"/>
  <c r="H8" i="8" s="1"/>
  <c r="H7" i="8"/>
  <c r="O7" i="8"/>
  <c r="M7" i="8"/>
  <c r="P36" i="9" l="1"/>
  <c r="R36" i="9" s="1"/>
  <c r="S36" i="9" s="1"/>
  <c r="L37" i="9"/>
  <c r="M38" i="8"/>
  <c r="O38" i="8"/>
  <c r="D33" i="8"/>
  <c r="F32" i="8"/>
  <c r="R29" i="9"/>
  <c r="S29" i="9" s="1"/>
  <c r="P37" i="9"/>
  <c r="D16" i="8"/>
  <c r="D17" i="8" s="1"/>
  <c r="D18" i="8" s="1"/>
  <c r="F18" i="8" s="1"/>
  <c r="P7" i="9"/>
  <c r="R13" i="9"/>
  <c r="Q37" i="9"/>
  <c r="L40" i="9" s="1"/>
  <c r="L42" i="9" s="1"/>
  <c r="D41" i="5"/>
  <c r="O23" i="5"/>
  <c r="M23" i="5"/>
  <c r="N23" i="5"/>
  <c r="G41" i="5"/>
  <c r="E55" i="5"/>
  <c r="E54" i="5"/>
  <c r="H40" i="5"/>
  <c r="F39" i="5"/>
  <c r="G35" i="5"/>
  <c r="G39" i="5"/>
  <c r="D39" i="5"/>
  <c r="H38" i="5"/>
  <c r="N22" i="5"/>
  <c r="D37" i="5"/>
  <c r="F37" i="5"/>
  <c r="H36" i="5"/>
  <c r="I34" i="2"/>
  <c r="F35" i="5"/>
  <c r="S34" i="2"/>
  <c r="R34" i="2"/>
  <c r="H34" i="5"/>
  <c r="D61" i="5"/>
  <c r="F33" i="5"/>
  <c r="G33" i="5"/>
  <c r="H32" i="5"/>
  <c r="F31" i="5"/>
  <c r="G31" i="5"/>
  <c r="D38" i="2"/>
  <c r="O17" i="5"/>
  <c r="O18" i="5"/>
  <c r="O19" i="5"/>
  <c r="O20" i="5"/>
  <c r="O21" i="5"/>
  <c r="O22" i="5"/>
  <c r="H30" i="5"/>
  <c r="F29" i="5"/>
  <c r="H29" i="5"/>
  <c r="G29" i="5"/>
  <c r="D29" i="5"/>
  <c r="C29" i="5"/>
  <c r="P31" i="2"/>
  <c r="G52" i="2"/>
  <c r="L42" i="2" s="1"/>
  <c r="C28" i="5"/>
  <c r="L25" i="5"/>
  <c r="F27" i="5"/>
  <c r="D27" i="5"/>
  <c r="P30" i="2"/>
  <c r="F25" i="5"/>
  <c r="F24" i="5"/>
  <c r="C13" i="5"/>
  <c r="O15" i="5"/>
  <c r="M16" i="5"/>
  <c r="M17" i="5"/>
  <c r="M18" i="5"/>
  <c r="M19" i="5"/>
  <c r="M20" i="5"/>
  <c r="M21" i="5"/>
  <c r="M22" i="5"/>
  <c r="M15" i="5"/>
  <c r="P29" i="2"/>
  <c r="D25" i="5"/>
  <c r="D24" i="5"/>
  <c r="D15" i="5"/>
  <c r="N15" i="5"/>
  <c r="H154" i="4"/>
  <c r="H151" i="4"/>
  <c r="H143" i="4"/>
  <c r="G24" i="5"/>
  <c r="F23" i="5"/>
  <c r="G23" i="5"/>
  <c r="D23" i="5"/>
  <c r="D22" i="5"/>
  <c r="D18" i="5"/>
  <c r="D17" i="5"/>
  <c r="O14" i="5"/>
  <c r="D56" i="5"/>
  <c r="D55" i="5"/>
  <c r="D47" i="5"/>
  <c r="H137" i="4"/>
  <c r="H14" i="5"/>
  <c r="H13" i="5"/>
  <c r="F13" i="5"/>
  <c r="D13" i="5"/>
  <c r="O9" i="5"/>
  <c r="M38" i="2"/>
  <c r="R31" i="2"/>
  <c r="S31" i="2" s="1"/>
  <c r="R30" i="2"/>
  <c r="S30" i="2" s="1"/>
  <c r="R29" i="2"/>
  <c r="S29" i="2" s="1"/>
  <c r="I24" i="2"/>
  <c r="K24" i="2" s="1"/>
  <c r="L24" i="2" s="1"/>
  <c r="P24" i="2" s="1"/>
  <c r="R24" i="2" s="1"/>
  <c r="S24" i="2" s="1"/>
  <c r="I25" i="2"/>
  <c r="K25" i="2" s="1"/>
  <c r="L25" i="2" s="1"/>
  <c r="P25" i="2" s="1"/>
  <c r="I26" i="2"/>
  <c r="K26" i="2" s="1"/>
  <c r="L26" i="2" s="1"/>
  <c r="P26" i="2" s="1"/>
  <c r="R26" i="2" s="1"/>
  <c r="S26" i="2" s="1"/>
  <c r="I27" i="2"/>
  <c r="K27" i="2" s="1"/>
  <c r="L27" i="2" s="1"/>
  <c r="P27" i="2" s="1"/>
  <c r="R27" i="2" s="1"/>
  <c r="S27" i="2" s="1"/>
  <c r="I28" i="2"/>
  <c r="K28" i="2" s="1"/>
  <c r="L28" i="2" s="1"/>
  <c r="P28" i="2" s="1"/>
  <c r="R28" i="2" s="1"/>
  <c r="S28" i="2" s="1"/>
  <c r="I29" i="2"/>
  <c r="K29" i="2" s="1"/>
  <c r="L29" i="2" s="1"/>
  <c r="I30" i="2"/>
  <c r="K30" i="2" s="1"/>
  <c r="L30" i="2" s="1"/>
  <c r="I31" i="2"/>
  <c r="K31" i="2" s="1"/>
  <c r="L31" i="2" s="1"/>
  <c r="I32" i="2"/>
  <c r="K32" i="2" s="1"/>
  <c r="L32" i="2" s="1"/>
  <c r="P32" i="2" s="1"/>
  <c r="R32" i="2" s="1"/>
  <c r="I33" i="2"/>
  <c r="K33" i="2" s="1"/>
  <c r="L33" i="2" s="1"/>
  <c r="P33" i="2" s="1"/>
  <c r="R33" i="2" s="1"/>
  <c r="S33" i="2" s="1"/>
  <c r="I35" i="2"/>
  <c r="K35" i="2" s="1"/>
  <c r="L35" i="2" s="1"/>
  <c r="P35" i="2" s="1"/>
  <c r="R35" i="2" s="1"/>
  <c r="S35" i="2" s="1"/>
  <c r="I36" i="2"/>
  <c r="K36" i="2" s="1"/>
  <c r="L36" i="2" s="1"/>
  <c r="P36" i="2" s="1"/>
  <c r="R36" i="2" s="1"/>
  <c r="S36" i="2" s="1"/>
  <c r="I37" i="2"/>
  <c r="K37" i="2" s="1"/>
  <c r="L37" i="2" s="1"/>
  <c r="P37" i="2" s="1"/>
  <c r="R37" i="2" s="1"/>
  <c r="S37" i="2" s="1"/>
  <c r="U7" i="5"/>
  <c r="H12" i="5"/>
  <c r="C11" i="5"/>
  <c r="F11" i="5"/>
  <c r="H11" i="5"/>
  <c r="D11" i="5"/>
  <c r="H10" i="5"/>
  <c r="G8" i="5"/>
  <c r="G9" i="5" s="1"/>
  <c r="O7" i="5"/>
  <c r="D7" i="5"/>
  <c r="D8" i="5" s="1"/>
  <c r="D9" i="5" s="1"/>
  <c r="C7" i="5"/>
  <c r="O6" i="5"/>
  <c r="F6" i="5"/>
  <c r="H6" i="5"/>
  <c r="U6" i="5"/>
  <c r="O8" i="5"/>
  <c r="O10" i="5"/>
  <c r="O11" i="5"/>
  <c r="O12" i="5"/>
  <c r="O13" i="5"/>
  <c r="O16" i="5"/>
  <c r="F40" i="4"/>
  <c r="F37" i="4"/>
  <c r="F32" i="4"/>
  <c r="F26" i="4"/>
  <c r="F11" i="4"/>
  <c r="F7" i="4"/>
  <c r="I23" i="2"/>
  <c r="K23" i="2" s="1"/>
  <c r="L23" i="2" s="1"/>
  <c r="P23" i="2" s="1"/>
  <c r="R23" i="2" s="1"/>
  <c r="S23" i="2" s="1"/>
  <c r="I22" i="2"/>
  <c r="K22" i="2" s="1"/>
  <c r="L22" i="2" s="1"/>
  <c r="P22" i="2" s="1"/>
  <c r="R22" i="2" s="1"/>
  <c r="S22" i="2" s="1"/>
  <c r="I21" i="2"/>
  <c r="K21" i="2" s="1"/>
  <c r="L21" i="2" s="1"/>
  <c r="P21" i="2" s="1"/>
  <c r="R21" i="2" s="1"/>
  <c r="S21" i="2" s="1"/>
  <c r="I20" i="2"/>
  <c r="K20" i="2" s="1"/>
  <c r="L20" i="2" s="1"/>
  <c r="P20" i="2" s="1"/>
  <c r="R20" i="2" s="1"/>
  <c r="S20" i="2" s="1"/>
  <c r="I19" i="2"/>
  <c r="K19" i="2" s="1"/>
  <c r="L19" i="2" s="1"/>
  <c r="P19" i="2" s="1"/>
  <c r="R19" i="2" s="1"/>
  <c r="S19" i="2" s="1"/>
  <c r="I18" i="2"/>
  <c r="K18" i="2" s="1"/>
  <c r="L18" i="2" s="1"/>
  <c r="P18" i="2" s="1"/>
  <c r="I17" i="2"/>
  <c r="K17" i="2" s="1"/>
  <c r="L17" i="2" s="1"/>
  <c r="P17" i="2" s="1"/>
  <c r="R17" i="2" s="1"/>
  <c r="S17" i="2" s="1"/>
  <c r="I16" i="2"/>
  <c r="K16" i="2" s="1"/>
  <c r="L16" i="2" s="1"/>
  <c r="P16" i="2" s="1"/>
  <c r="R16" i="2" s="1"/>
  <c r="S16" i="2" s="1"/>
  <c r="I15" i="2"/>
  <c r="I14" i="2"/>
  <c r="K14" i="2" s="1"/>
  <c r="L14" i="2" s="1"/>
  <c r="P14" i="2" s="1"/>
  <c r="I13" i="2"/>
  <c r="K13" i="2" s="1"/>
  <c r="I12" i="2"/>
  <c r="K12" i="2" s="1"/>
  <c r="L12" i="2" s="1"/>
  <c r="P12" i="2" s="1"/>
  <c r="I11" i="2"/>
  <c r="K11" i="2" s="1"/>
  <c r="L11" i="2" s="1"/>
  <c r="P11" i="2" s="1"/>
  <c r="I10" i="2"/>
  <c r="K10" i="2" s="1"/>
  <c r="L10" i="2" s="1"/>
  <c r="P10" i="2" s="1"/>
  <c r="I9" i="2"/>
  <c r="K9" i="2" s="1"/>
  <c r="L9" i="2" s="1"/>
  <c r="P9" i="2" s="1"/>
  <c r="I8" i="2"/>
  <c r="K8" i="2" s="1"/>
  <c r="L8" i="2" s="1"/>
  <c r="P8" i="2" s="1"/>
  <c r="R8" i="2" s="1"/>
  <c r="S8" i="2" s="1"/>
  <c r="I7" i="2"/>
  <c r="AC88" i="1"/>
  <c r="Y88" i="1"/>
  <c r="I23" i="1"/>
  <c r="K23" i="1" s="1"/>
  <c r="L23" i="1" s="1"/>
  <c r="I21" i="1"/>
  <c r="M18" i="1"/>
  <c r="J15" i="1"/>
  <c r="M13" i="1"/>
  <c r="M12" i="1"/>
  <c r="O24" i="1"/>
  <c r="N24" i="1"/>
  <c r="M11" i="1"/>
  <c r="D34" i="8" l="1"/>
  <c r="F33" i="8"/>
  <c r="S13" i="9"/>
  <c r="L45" i="9"/>
  <c r="L46" i="9" s="1"/>
  <c r="R7" i="9"/>
  <c r="K34" i="2"/>
  <c r="L34" i="2" s="1"/>
  <c r="P34" i="2" s="1"/>
  <c r="S32" i="2"/>
  <c r="R38" i="2"/>
  <c r="S38" i="2"/>
  <c r="R25" i="2"/>
  <c r="S25" i="2" s="1"/>
  <c r="R18" i="2"/>
  <c r="S18" i="2" s="1"/>
  <c r="R14" i="2"/>
  <c r="S14" i="2" s="1"/>
  <c r="R12" i="2"/>
  <c r="S12" i="2" s="1"/>
  <c r="R11" i="2"/>
  <c r="R10" i="2"/>
  <c r="R9" i="2"/>
  <c r="S9" i="2" s="1"/>
  <c r="C8" i="5"/>
  <c r="F7" i="5"/>
  <c r="H7" i="5"/>
  <c r="K15" i="2"/>
  <c r="L13" i="2"/>
  <c r="K7" i="2"/>
  <c r="L7" i="2" s="1"/>
  <c r="P7" i="2" s="1"/>
  <c r="R7" i="2" s="1"/>
  <c r="S7" i="2" s="1"/>
  <c r="L15" i="2"/>
  <c r="P15" i="2" s="1"/>
  <c r="M10" i="1"/>
  <c r="M24" i="1" s="1"/>
  <c r="S23" i="1"/>
  <c r="I8" i="1"/>
  <c r="K8" i="1" s="1"/>
  <c r="L8" i="1" s="1"/>
  <c r="I9" i="1"/>
  <c r="K9" i="1" s="1"/>
  <c r="I10" i="1"/>
  <c r="I11" i="1"/>
  <c r="I12" i="1"/>
  <c r="K12" i="1" s="1"/>
  <c r="I13" i="1"/>
  <c r="I14" i="1"/>
  <c r="I15" i="1"/>
  <c r="I16" i="1"/>
  <c r="K16" i="1" s="1"/>
  <c r="L16" i="1" s="1"/>
  <c r="I17" i="1"/>
  <c r="K17" i="1" s="1"/>
  <c r="I18" i="1"/>
  <c r="K18" i="1" s="1"/>
  <c r="I19" i="1"/>
  <c r="K19" i="1" s="1"/>
  <c r="I20" i="1"/>
  <c r="K20" i="1" s="1"/>
  <c r="L20" i="1" s="1"/>
  <c r="K21" i="1"/>
  <c r="L21" i="1" s="1"/>
  <c r="I22" i="1"/>
  <c r="K22" i="1" s="1"/>
  <c r="L22" i="1" s="1"/>
  <c r="I7" i="1"/>
  <c r="K7" i="1" s="1"/>
  <c r="L7" i="1" s="1"/>
  <c r="D35" i="8" l="1"/>
  <c r="D36" i="8" s="1"/>
  <c r="D37" i="8" s="1"/>
  <c r="D38" i="8" s="1"/>
  <c r="F38" i="8" s="1"/>
  <c r="F34" i="8"/>
  <c r="R37" i="9"/>
  <c r="S7" i="9"/>
  <c r="S37" i="9" s="1"/>
  <c r="P13" i="2"/>
  <c r="P38" i="2" s="1"/>
  <c r="L46" i="2" s="1"/>
  <c r="L47" i="2" s="1"/>
  <c r="L38" i="2"/>
  <c r="R15" i="2"/>
  <c r="S15" i="2" s="1"/>
  <c r="Q13" i="2"/>
  <c r="Q38" i="2" s="1"/>
  <c r="L41" i="2" s="1"/>
  <c r="L43" i="2" s="1"/>
  <c r="R13" i="2"/>
  <c r="S13" i="2" s="1"/>
  <c r="S11" i="2"/>
  <c r="S10" i="2"/>
  <c r="F8" i="5"/>
  <c r="H8" i="5"/>
  <c r="C9" i="5"/>
  <c r="F9" i="5" s="1"/>
  <c r="H9" i="5" s="1"/>
  <c r="P22" i="1"/>
  <c r="Q22" i="1" s="1"/>
  <c r="S22" i="1" s="1"/>
  <c r="K15" i="1"/>
  <c r="L15" i="1" s="1"/>
  <c r="K11" i="1"/>
  <c r="L11" i="1" s="1"/>
  <c r="P11" i="1" s="1"/>
  <c r="Q11" i="1" s="1"/>
  <c r="P20" i="1"/>
  <c r="Q20" i="1" s="1"/>
  <c r="S20" i="1" s="1"/>
  <c r="K13" i="1"/>
  <c r="L13" i="1" s="1"/>
  <c r="P13" i="1" s="1"/>
  <c r="Q13" i="1" s="1"/>
  <c r="S13" i="1" s="1"/>
  <c r="K14" i="1"/>
  <c r="L14" i="1" s="1"/>
  <c r="P14" i="1" s="1"/>
  <c r="Q14" i="1" s="1"/>
  <c r="S14" i="1" s="1"/>
  <c r="K10" i="1"/>
  <c r="L10" i="1" s="1"/>
  <c r="P10" i="1" s="1"/>
  <c r="Q10" i="1" s="1"/>
  <c r="S10" i="1" s="1"/>
  <c r="P21" i="1"/>
  <c r="Q21" i="1" s="1"/>
  <c r="S21" i="1" s="1"/>
  <c r="L19" i="1"/>
  <c r="L18" i="1"/>
  <c r="L17" i="1"/>
  <c r="P8" i="1"/>
  <c r="Q8" i="1" s="1"/>
  <c r="S8" i="1" s="1"/>
  <c r="L12" i="1"/>
  <c r="P12" i="1" s="1"/>
  <c r="Q12" i="1" s="1"/>
  <c r="I24" i="1"/>
  <c r="K24" i="1" s="1"/>
  <c r="P16" i="1"/>
  <c r="Q16" i="1" s="1"/>
  <c r="S16" i="1" s="1"/>
  <c r="P7" i="1"/>
  <c r="Q7" i="1" s="1"/>
  <c r="S7" i="1" s="1"/>
  <c r="L9" i="1"/>
  <c r="P15" i="1" l="1"/>
  <c r="Q15" i="1" s="1"/>
  <c r="S15" i="1" s="1"/>
  <c r="P19" i="1"/>
  <c r="Q19" i="1" s="1"/>
  <c r="S19" i="1" s="1"/>
  <c r="P18" i="1"/>
  <c r="Q18" i="1" s="1"/>
  <c r="S18" i="1" s="1"/>
  <c r="S11" i="1"/>
  <c r="P17" i="1"/>
  <c r="Q17" i="1" s="1"/>
  <c r="S17" i="1" s="1"/>
  <c r="P9" i="1"/>
  <c r="Q9" i="1" s="1"/>
  <c r="S9" i="1" s="1"/>
  <c r="L24" i="1"/>
  <c r="S12" i="1"/>
  <c r="P24" i="1" l="1"/>
  <c r="Q24" i="1"/>
  <c r="S24" i="1"/>
</calcChain>
</file>

<file path=xl/sharedStrings.xml><?xml version="1.0" encoding="utf-8"?>
<sst xmlns="http://schemas.openxmlformats.org/spreadsheetml/2006/main" count="3138" uniqueCount="1654">
  <si>
    <t>TGL</t>
  </si>
  <si>
    <t xml:space="preserve">Total resi </t>
  </si>
  <si>
    <t xml:space="preserve">Pengangkutan </t>
  </si>
  <si>
    <t xml:space="preserve">Total Ongkir </t>
  </si>
  <si>
    <t xml:space="preserve">Total Cash </t>
  </si>
  <si>
    <t xml:space="preserve">Total BB </t>
  </si>
  <si>
    <t xml:space="preserve">GRAND TOTAL </t>
  </si>
  <si>
    <t xml:space="preserve">Service Cash </t>
  </si>
  <si>
    <t xml:space="preserve">Surat </t>
  </si>
  <si>
    <t xml:space="preserve">Asuransi </t>
  </si>
  <si>
    <t>Total Omset</t>
  </si>
  <si>
    <t xml:space="preserve">Komisi </t>
  </si>
  <si>
    <t xml:space="preserve">NO. </t>
  </si>
  <si>
    <t xml:space="preserve">Darat </t>
  </si>
  <si>
    <t xml:space="preserve">Laut </t>
  </si>
  <si>
    <t xml:space="preserve">Udara </t>
  </si>
  <si>
    <t xml:space="preserve">Towing </t>
  </si>
  <si>
    <t>PENDAPATAN NOVEMBER 2025</t>
  </si>
  <si>
    <t xml:space="preserve">MODAL </t>
  </si>
  <si>
    <t>DIPOTONG</t>
  </si>
  <si>
    <t>MES1CS28289532</t>
  </si>
  <si>
    <t xml:space="preserve">NO RESI </t>
  </si>
  <si>
    <t>PUJA JANNATIN</t>
  </si>
  <si>
    <t xml:space="preserve">PENGIRIM </t>
  </si>
  <si>
    <t>Koto Tangah</t>
  </si>
  <si>
    <t xml:space="preserve">TOTAL </t>
  </si>
  <si>
    <t xml:space="preserve">BB </t>
  </si>
  <si>
    <t xml:space="preserve">DARAT </t>
  </si>
  <si>
    <t>MES1CS28289589</t>
  </si>
  <si>
    <t>IDI RAYEUK</t>
  </si>
  <si>
    <t>MES1CS28289747</t>
  </si>
  <si>
    <t>Padang Gelugur</t>
  </si>
  <si>
    <t>MES1CS28289820</t>
  </si>
  <si>
    <t>Marpoyan Damai</t>
  </si>
  <si>
    <t xml:space="preserve">total </t>
  </si>
  <si>
    <t xml:space="preserve">harian </t>
  </si>
  <si>
    <t xml:space="preserve">TRANSASKI BB yang harus dikontrol pembayarannya </t>
  </si>
  <si>
    <t xml:space="preserve">belum bayar </t>
  </si>
  <si>
    <t>L</t>
  </si>
  <si>
    <t xml:space="preserve">Lunas </t>
  </si>
  <si>
    <t>BL</t>
  </si>
  <si>
    <t>CENTRA MODA TEXTILE</t>
  </si>
  <si>
    <t>Medan Tuntungan</t>
  </si>
  <si>
    <t xml:space="preserve">  MES1CS28292853</t>
  </si>
  <si>
    <t xml:space="preserve">YULI </t>
  </si>
  <si>
    <t>BAGAN SINEMBAH</t>
  </si>
  <si>
    <t>WAN WAN FLORIST</t>
  </si>
  <si>
    <t>Putri Hijau</t>
  </si>
  <si>
    <t>INDAH WULANDARI</t>
  </si>
  <si>
    <t>Ngoro (Kab. Mojokerto)</t>
  </si>
  <si>
    <t xml:space="preserve">  MES1CS28306131</t>
  </si>
  <si>
    <t xml:space="preserve">  MES1CS28304957</t>
  </si>
  <si>
    <t xml:space="preserve">  MES1CS28300173</t>
  </si>
  <si>
    <t>MES1CS28324847</t>
  </si>
  <si>
    <t>Bangko (Rokan Hilir)</t>
  </si>
  <si>
    <t>MES1CS28324762</t>
  </si>
  <si>
    <t>Kuta Alam</t>
  </si>
  <si>
    <t>Meureubo</t>
  </si>
  <si>
    <t>MES1CS28324707</t>
  </si>
  <si>
    <t>MES1CS28324384</t>
  </si>
  <si>
    <t>ABC ASIA</t>
  </si>
  <si>
    <t>Mandau</t>
  </si>
  <si>
    <t>MES1CS28320199</t>
  </si>
  <si>
    <t>YULI GLOBAL</t>
  </si>
  <si>
    <t>Payung Sekaki (Pekanbaru)</t>
  </si>
  <si>
    <t>MES1CS28335511</t>
  </si>
  <si>
    <t>SUNGAI PENUH</t>
  </si>
  <si>
    <t>Singaran Pati</t>
  </si>
  <si>
    <t>MES1CS28335456</t>
  </si>
  <si>
    <t>Pasar Jambi</t>
  </si>
  <si>
    <t>SRM HAMMER SUN PLAZA</t>
  </si>
  <si>
    <t>MES1CS28331773</t>
  </si>
  <si>
    <t>MES1CS28353360</t>
  </si>
  <si>
    <t>Baru (Jambi)</t>
  </si>
  <si>
    <t>MES1CS28351481</t>
  </si>
  <si>
    <t>Rambah Samo</t>
  </si>
  <si>
    <t>Bebesen</t>
  </si>
  <si>
    <t>MES1CS28351352</t>
  </si>
  <si>
    <r>
      <t xml:space="preserve">                                                                                                                                             </t>
    </r>
    <r>
      <rPr>
        <b/>
        <sz val="11"/>
        <rFont val="Calibri"/>
        <family val="2"/>
        <scheme val="minor"/>
      </rPr>
      <t xml:space="preserve"> LAPORAN AGEN OTONOM MITRA A MEDAN MAIMUN </t>
    </r>
  </si>
  <si>
    <t>MINGGU</t>
  </si>
  <si>
    <t>MES1CS28351139</t>
  </si>
  <si>
    <t>Sungai Serut</t>
  </si>
  <si>
    <t>MES1CS28350058</t>
  </si>
  <si>
    <t>M SAFIUDIN</t>
  </si>
  <si>
    <t>Padang Utara</t>
  </si>
  <si>
    <t>Sawah Besar</t>
  </si>
  <si>
    <t>BEAUTY WORLD</t>
  </si>
  <si>
    <t>MES1CS28349535</t>
  </si>
  <si>
    <t>MES1CS28346539</t>
  </si>
  <si>
    <t>LIMA PULUH (PEKAN BARU)</t>
  </si>
  <si>
    <t>MES1CS28368210</t>
  </si>
  <si>
    <t>MES1CS28368039</t>
  </si>
  <si>
    <t>Kejuruan Muda</t>
  </si>
  <si>
    <t>Padang Selatan</t>
  </si>
  <si>
    <t>TOKO BAHAGIA</t>
  </si>
  <si>
    <t>MES1CS28365225</t>
  </si>
  <si>
    <t>MES1CS28364316</t>
  </si>
  <si>
    <t>SEI RAMPAH</t>
  </si>
  <si>
    <t>Bagan Sinembah</t>
  </si>
  <si>
    <t>TRODEX MEDAN</t>
  </si>
  <si>
    <t>MES1CS28362330</t>
  </si>
  <si>
    <t>MES1CS28360844</t>
  </si>
  <si>
    <t>LUHUT</t>
  </si>
  <si>
    <t>TELUK DALAM</t>
  </si>
  <si>
    <t>LAUT</t>
  </si>
  <si>
    <t>MES1CS28381098</t>
  </si>
  <si>
    <t>Wonokromo</t>
  </si>
  <si>
    <t>MES1CS28381021</t>
  </si>
  <si>
    <t>MES1CS28380810</t>
  </si>
  <si>
    <t>Gading Cempaka</t>
  </si>
  <si>
    <t>MES1CS28378053</t>
  </si>
  <si>
    <t xml:space="preserve">Anli </t>
  </si>
  <si>
    <t>MES1CS28379316</t>
  </si>
  <si>
    <t xml:space="preserve">Maju jaya Kom </t>
  </si>
  <si>
    <t xml:space="preserve">Adit/Plaza kom </t>
  </si>
  <si>
    <t>MES1CS28397798</t>
  </si>
  <si>
    <t>Susan Ajen g</t>
  </si>
  <si>
    <t xml:space="preserve">Intan </t>
  </si>
  <si>
    <t>MES1CS28397173</t>
  </si>
  <si>
    <t xml:space="preserve">Herman </t>
  </si>
  <si>
    <t xml:space="preserve">Veronika </t>
  </si>
  <si>
    <t>MES1CS28395610</t>
  </si>
  <si>
    <t>MES1CS28392278</t>
  </si>
  <si>
    <t xml:space="preserve">Ulil Asmin </t>
  </si>
  <si>
    <t xml:space="preserve">Mulkan </t>
  </si>
  <si>
    <t xml:space="preserve">Beauty gold </t>
  </si>
  <si>
    <t>MES1CS28432599</t>
  </si>
  <si>
    <t>MES1CS28432538</t>
  </si>
  <si>
    <t>Kampung Rakyat</t>
  </si>
  <si>
    <t>MES1CS28432423</t>
  </si>
  <si>
    <t>MES1CS28432380</t>
  </si>
  <si>
    <t>Dayun</t>
  </si>
  <si>
    <t>MES1CS28431850</t>
  </si>
  <si>
    <t xml:space="preserve">YULI GLOBAL </t>
  </si>
  <si>
    <t>MES1CS28431106</t>
  </si>
  <si>
    <t>MUTIARA ACC</t>
  </si>
  <si>
    <t>SIDIKALANG</t>
  </si>
  <si>
    <t>MES1CS28430273</t>
  </si>
  <si>
    <t>FITRIANA DAKHI</t>
  </si>
  <si>
    <t>MES1CS28423553</t>
  </si>
  <si>
    <t>PT. MUSIM MAS</t>
  </si>
  <si>
    <t>Cengkareng</t>
  </si>
  <si>
    <t>MES1CS28442696</t>
  </si>
  <si>
    <t>CERRY</t>
  </si>
  <si>
    <t>Nalo Tantan</t>
  </si>
  <si>
    <t>MES1CS28442492</t>
  </si>
  <si>
    <t>Kuranji (Padang)</t>
  </si>
  <si>
    <t>CV METRO ELEKTRONIK</t>
  </si>
  <si>
    <t>MES1CS28458818</t>
  </si>
  <si>
    <t>MES1CS28458780</t>
  </si>
  <si>
    <t>Rantau Selatan</t>
  </si>
  <si>
    <t>MES1CS28456980</t>
  </si>
  <si>
    <t>DESAIN GORDEN</t>
  </si>
  <si>
    <t>MES1CS28454787</t>
  </si>
  <si>
    <t>ARGA MAKMUR</t>
  </si>
  <si>
    <t>Martapura (Ogan Komering Ulu Timur)</t>
  </si>
  <si>
    <t>MES1CS28454516</t>
  </si>
  <si>
    <t>Depati Tujuh</t>
  </si>
  <si>
    <t>MES1CS28452493</t>
  </si>
  <si>
    <t>RENGAT</t>
  </si>
  <si>
    <t>NEWTECH COM</t>
  </si>
  <si>
    <t>MES1CS28471653</t>
  </si>
  <si>
    <t>MES1CS28470376</t>
  </si>
  <si>
    <t>MELODI INFORMA</t>
  </si>
  <si>
    <t>Gunungsitoli</t>
  </si>
  <si>
    <t>Baturaja Timur</t>
  </si>
  <si>
    <t>MES1CS28469885</t>
  </si>
  <si>
    <t>EXPRESS COMPUTER</t>
  </si>
  <si>
    <t>MES1CS28468622</t>
  </si>
  <si>
    <t>WINLI</t>
  </si>
  <si>
    <t>Sukajadi (Pekanbaru)</t>
  </si>
  <si>
    <t>MES1CS28463083</t>
  </si>
  <si>
    <t>l</t>
  </si>
  <si>
    <t>MES1CS28490663</t>
  </si>
  <si>
    <t>MES1CS28488425</t>
  </si>
  <si>
    <t>Tampan</t>
  </si>
  <si>
    <t>MES1CS28486419</t>
  </si>
  <si>
    <t>MES1CS28484781</t>
  </si>
  <si>
    <t xml:space="preserve">wan wan florist </t>
  </si>
  <si>
    <t xml:space="preserve">ratu agung </t>
  </si>
  <si>
    <t>MES1CS28484055</t>
  </si>
  <si>
    <t>TOKO POLARIS</t>
  </si>
  <si>
    <t>bandar pasir mandoge</t>
  </si>
  <si>
    <t>MES1CS28505930</t>
  </si>
  <si>
    <t xml:space="preserve">DVM MEDAN </t>
  </si>
  <si>
    <t>Peureulak</t>
  </si>
  <si>
    <t>MES1CS28503673</t>
  </si>
  <si>
    <t>Telanaipura</t>
  </si>
  <si>
    <t>MES1CS28501081</t>
  </si>
  <si>
    <t>MES1CS28520927</t>
  </si>
  <si>
    <t>TOFFIN - MEDAN</t>
  </si>
  <si>
    <t>Genteng (Surabaya)</t>
  </si>
  <si>
    <t>MES1CS28519175</t>
  </si>
  <si>
    <t>TOKO WIN DIESEL</t>
  </si>
  <si>
    <t>Metro Timur</t>
  </si>
  <si>
    <t>MES1CS28517107</t>
  </si>
  <si>
    <t>MES1CS28516711</t>
  </si>
  <si>
    <t>Ketahun</t>
  </si>
  <si>
    <t>MES1CS28516688</t>
  </si>
  <si>
    <t>CAHAYA MANDIRI</t>
  </si>
  <si>
    <t>SUNGAI LILIN</t>
  </si>
  <si>
    <t>MES1CS28511784</t>
  </si>
  <si>
    <t>MES1CS28511205</t>
  </si>
  <si>
    <t>Rimbo Bujang</t>
  </si>
  <si>
    <t>MES1CS28510373</t>
  </si>
  <si>
    <t>EFFENDY</t>
  </si>
  <si>
    <t>Ilir Timur II</t>
  </si>
  <si>
    <t>MES1CS28535676</t>
  </si>
  <si>
    <t>MES1CS28535327</t>
  </si>
  <si>
    <t>AVASTORE</t>
  </si>
  <si>
    <t>Ingin Jaya</t>
  </si>
  <si>
    <t>MES1CS28535004</t>
  </si>
  <si>
    <t>MES1CS28534480</t>
  </si>
  <si>
    <t>MES1CS28533431</t>
  </si>
  <si>
    <t>CV ERAS</t>
  </si>
  <si>
    <t>MES1CS28532439</t>
  </si>
  <si>
    <t>Selebar</t>
  </si>
  <si>
    <t>MES1CS28531021</t>
  </si>
  <si>
    <t>SERVICE CENTER RHINO</t>
  </si>
  <si>
    <t>Padang Barat</t>
  </si>
  <si>
    <t>MES1CS28550439</t>
  </si>
  <si>
    <t>MES1CS28548440</t>
  </si>
  <si>
    <t>MES1CS28542111</t>
  </si>
  <si>
    <t>EFRINA NOFIYANTI KAYADU</t>
  </si>
  <si>
    <t>JAMBI</t>
  </si>
  <si>
    <t>MES1CS28541706</t>
  </si>
  <si>
    <t xml:space="preserve">LAUT </t>
  </si>
  <si>
    <t>MES1CS28541180</t>
  </si>
  <si>
    <t>PENDAPATAN DESEMBER 2025</t>
  </si>
  <si>
    <t xml:space="preserve">JUMLAH </t>
  </si>
  <si>
    <t>MES1CS28561601</t>
  </si>
  <si>
    <t>TC MIA</t>
  </si>
  <si>
    <t>Kabanjahe</t>
  </si>
  <si>
    <t>MES1CS28559169</t>
  </si>
  <si>
    <t>MES1CS28581000</t>
  </si>
  <si>
    <t>Rambah</t>
  </si>
  <si>
    <t>MES1CS28580805</t>
  </si>
  <si>
    <t xml:space="preserve">Global </t>
  </si>
  <si>
    <t>MES1CS28578445</t>
  </si>
  <si>
    <t>MES1CS28575432</t>
  </si>
  <si>
    <t>MES1CS28575111</t>
  </si>
  <si>
    <t>MES1CS28600732</t>
  </si>
  <si>
    <t xml:space="preserve">ADIL GRAFIKA </t>
  </si>
  <si>
    <t>SINGKUT</t>
  </si>
  <si>
    <t>MES1CS28600702</t>
  </si>
  <si>
    <t xml:space="preserve">KABUN </t>
  </si>
  <si>
    <t>MES1CS28597966</t>
  </si>
  <si>
    <t>Bandar Pasir Mandoge</t>
  </si>
  <si>
    <t>MES1CS28592466</t>
  </si>
  <si>
    <t>BEAUTY WORL d</t>
  </si>
  <si>
    <t>Siantar Barat</t>
  </si>
  <si>
    <t>MES1CS28587881</t>
  </si>
  <si>
    <t>FELIX [CV METRO ELEKTRONIK]</t>
  </si>
  <si>
    <t>MES1CS28587788</t>
  </si>
  <si>
    <t xml:space="preserve">MANDAU </t>
  </si>
  <si>
    <t>MES1CS28616864</t>
  </si>
  <si>
    <t>Lubuk Sikarah</t>
  </si>
  <si>
    <t>MES1CS28616838</t>
  </si>
  <si>
    <t>Tanah Putih</t>
  </si>
  <si>
    <t>MES1CS28615893</t>
  </si>
  <si>
    <t>UMAMA GALLERY</t>
  </si>
  <si>
    <t>Kedaton</t>
  </si>
  <si>
    <t>MES1CS28615210</t>
  </si>
  <si>
    <t>Ilir Barat I</t>
  </si>
  <si>
    <t>MES1CS28614675</t>
  </si>
  <si>
    <t>MES1CS28614631</t>
  </si>
  <si>
    <t>MES1CS28613502</t>
  </si>
  <si>
    <t>LQ</t>
  </si>
  <si>
    <t>MES1CS28633048</t>
  </si>
  <si>
    <t>FINS</t>
  </si>
  <si>
    <t>Siantar Selatan</t>
  </si>
  <si>
    <t>Muaro Sijunjung</t>
  </si>
  <si>
    <t>YENGSI</t>
  </si>
  <si>
    <t>MES1CS28632947</t>
  </si>
  <si>
    <t>MES1CS28632644</t>
  </si>
  <si>
    <t>Ulee Kareng</t>
  </si>
  <si>
    <t>MES1CS28632557</t>
  </si>
  <si>
    <t>MES1CS28632376</t>
  </si>
  <si>
    <t>MAJU JAYA COMPUTER</t>
  </si>
  <si>
    <t>Johan Pahlawan</t>
  </si>
  <si>
    <t>PT. ELEKTRONIC CITY INDONESIA Tbk</t>
  </si>
  <si>
    <t>MES1CS28629427</t>
  </si>
  <si>
    <t>MES1CS28627982</t>
  </si>
  <si>
    <t>Dra. AYU KESUMA NINGTYAS</t>
  </si>
  <si>
    <t>BENGKALIS</t>
  </si>
  <si>
    <t>Baruga</t>
  </si>
  <si>
    <t>MES1CS28627859</t>
  </si>
  <si>
    <t>MES1CS28625721</t>
  </si>
  <si>
    <t>MES1CS28625470</t>
  </si>
  <si>
    <t>Siak Hulu</t>
  </si>
  <si>
    <t>MES1CS28625419</t>
  </si>
  <si>
    <t>MES1CS28623587</t>
  </si>
  <si>
    <t>Kembang Tanjung</t>
  </si>
  <si>
    <t>OLIVE BEAUTY</t>
  </si>
  <si>
    <t>MES1CS28623374</t>
  </si>
  <si>
    <t>MES1CS28622695</t>
  </si>
  <si>
    <t>Air Hangat</t>
  </si>
  <si>
    <t>MES1CS28632587</t>
  </si>
  <si>
    <t>MES1CS28622670</t>
  </si>
  <si>
    <t>MES1CS28622640</t>
  </si>
  <si>
    <t>MES1CS28649743</t>
  </si>
  <si>
    <t>MES1CS28649566</t>
  </si>
  <si>
    <t>ADIL GRAFIKA</t>
  </si>
  <si>
    <t>MES1CS28649531</t>
  </si>
  <si>
    <t>MES1CS28649497</t>
  </si>
  <si>
    <t>MES1CS28647767</t>
  </si>
  <si>
    <t>MES1CS28645852</t>
  </si>
  <si>
    <t>UMMU AYYAS.ID</t>
  </si>
  <si>
    <t>MES1CS28645531</t>
  </si>
  <si>
    <t>MES1CS28639920</t>
  </si>
  <si>
    <t>TATA</t>
  </si>
  <si>
    <t>MES1CS28639756</t>
  </si>
  <si>
    <t>MES1CS28637857</t>
  </si>
  <si>
    <t>Guguk Panjang</t>
  </si>
  <si>
    <t>TEMBILAHAN</t>
  </si>
  <si>
    <t>Pariaman Tengah</t>
  </si>
  <si>
    <t>Air Periukan</t>
  </si>
  <si>
    <t>Bilah Hulu</t>
  </si>
  <si>
    <t>Tenayan Raya</t>
  </si>
  <si>
    <t>MES1CS28665305</t>
  </si>
  <si>
    <t>MES1CS28665077</t>
  </si>
  <si>
    <t>GHAFUR HAIQAL</t>
  </si>
  <si>
    <t>MES1CS28661950</t>
  </si>
  <si>
    <t>CAHAYA SUKSES</t>
  </si>
  <si>
    <t>MES1CS28659442</t>
  </si>
  <si>
    <t>TB. ANEKA</t>
  </si>
  <si>
    <t>MES1CS28658078</t>
  </si>
  <si>
    <t>MES1CS28654607</t>
  </si>
  <si>
    <t>MES1CS28654573</t>
  </si>
  <si>
    <t>MES1CS28654529</t>
  </si>
  <si>
    <t>Curup Tengah</t>
  </si>
  <si>
    <t>Muara Satu</t>
  </si>
  <si>
    <t>Tembilahan Hulu</t>
  </si>
  <si>
    <t>Banda Raya</t>
  </si>
  <si>
    <t>Jekan Raya</t>
  </si>
  <si>
    <t>Padangpanjang Barat</t>
  </si>
  <si>
    <t>Kota Manna</t>
  </si>
  <si>
    <t>BB</t>
  </si>
  <si>
    <t xml:space="preserve">MESTIKA </t>
  </si>
  <si>
    <t>SALDO SISTEM</t>
  </si>
  <si>
    <t xml:space="preserve">KONTROL MODAL INDAH CARGO MAIMUN </t>
  </si>
  <si>
    <t xml:space="preserve">SETORAN TOTAL MODAL </t>
  </si>
  <si>
    <t xml:space="preserve">SALDO KAS </t>
  </si>
  <si>
    <t xml:space="preserve">TGL </t>
  </si>
  <si>
    <t xml:space="preserve">Pagi </t>
  </si>
  <si>
    <t xml:space="preserve">Sore </t>
  </si>
  <si>
    <t xml:space="preserve">hari </t>
  </si>
  <si>
    <t xml:space="preserve">TOTAL OMSET </t>
  </si>
  <si>
    <t xml:space="preserve">CASH </t>
  </si>
  <si>
    <t xml:space="preserve">LABA </t>
  </si>
  <si>
    <t xml:space="preserve">TANGGAL </t>
  </si>
  <si>
    <t xml:space="preserve">BTL RESI DLL </t>
  </si>
  <si>
    <t xml:space="preserve">PENDAPATAN PACKING </t>
  </si>
  <si>
    <t xml:space="preserve">Nama Packing </t>
  </si>
  <si>
    <t xml:space="preserve">Bubble wrap 2 </t>
  </si>
  <si>
    <t xml:space="preserve">Jumlah </t>
  </si>
  <si>
    <t xml:space="preserve">Pengeluaran Packing </t>
  </si>
  <si>
    <t xml:space="preserve">LABA PACKING </t>
  </si>
  <si>
    <t xml:space="preserve">Bubble </t>
  </si>
  <si>
    <t>MES1CS28669251</t>
  </si>
  <si>
    <t>ADHE</t>
  </si>
  <si>
    <t>MES1CS28685131</t>
  </si>
  <si>
    <t>GRACE NADINE</t>
  </si>
  <si>
    <t>MES1CS28682103</t>
  </si>
  <si>
    <t>GROSIR 3K</t>
  </si>
  <si>
    <t>MES1CS28680319</t>
  </si>
  <si>
    <t>MES1CS28678202</t>
  </si>
  <si>
    <t>TARIGAN</t>
  </si>
  <si>
    <t>MES1CS28673240</t>
  </si>
  <si>
    <t>ELITE MOTOR</t>
  </si>
  <si>
    <t>MES1CS28672909</t>
  </si>
  <si>
    <t>Pulo Gadung</t>
  </si>
  <si>
    <t>Kuta Malaka</t>
  </si>
  <si>
    <t>Langsa Kota</t>
  </si>
  <si>
    <t>Payakumbuh Barat</t>
  </si>
  <si>
    <t>MES1CS28701958</t>
  </si>
  <si>
    <t>MES1CS28701933</t>
  </si>
  <si>
    <t>PULAU PUNJUNG</t>
  </si>
  <si>
    <t>PANYABUNGAN</t>
  </si>
  <si>
    <t>MES1CS28699647</t>
  </si>
  <si>
    <t>KOMPUTER MEDAN COM</t>
  </si>
  <si>
    <t>MES1CS28697613</t>
  </si>
  <si>
    <t>MES1CS28693872</t>
  </si>
  <si>
    <t xml:space="preserve">KAYU </t>
  </si>
  <si>
    <t xml:space="preserve">BELI KAYU DAN PAKU </t>
  </si>
  <si>
    <t xml:space="preserve">UPAH </t>
  </si>
  <si>
    <t xml:space="preserve">Komisi sistem </t>
  </si>
  <si>
    <t xml:space="preserve">selisih </t>
  </si>
  <si>
    <t>MES1CS28717339</t>
  </si>
  <si>
    <t>MES1CS28717305</t>
  </si>
  <si>
    <t>MES1CS28716039</t>
  </si>
  <si>
    <t>MES1CS28712832</t>
  </si>
  <si>
    <t>MES1CS28709948</t>
  </si>
  <si>
    <t>MES1CS28709911</t>
  </si>
  <si>
    <t xml:space="preserve">padang selatan </t>
  </si>
  <si>
    <t>Kota manna</t>
  </si>
  <si>
    <t xml:space="preserve">Bangko </t>
  </si>
  <si>
    <t xml:space="preserve">Batang hari nuban </t>
  </si>
  <si>
    <t>MES1CS28732107</t>
  </si>
  <si>
    <t>MES1CS28731999</t>
  </si>
  <si>
    <t>MES1CS28731619</t>
  </si>
  <si>
    <t>GLOBAL</t>
  </si>
  <si>
    <t>MES1CS28730703</t>
  </si>
  <si>
    <t>MES1CS28728095</t>
  </si>
  <si>
    <t>MES1CS28728063</t>
  </si>
  <si>
    <t>MES1CS28726958</t>
  </si>
  <si>
    <t>PT. VIRIYA PERSADA NETINDO</t>
  </si>
  <si>
    <t>MES1CS28724898</t>
  </si>
  <si>
    <t>MES1CS28724040</t>
  </si>
  <si>
    <t>MES1CS28722252</t>
  </si>
  <si>
    <t xml:space="preserve">panti pasaman </t>
  </si>
  <si>
    <t>KARAWACI</t>
  </si>
  <si>
    <t xml:space="preserve">BAGAN SINEMBAH </t>
  </si>
  <si>
    <t>SINGARAN PATI</t>
  </si>
  <si>
    <t xml:space="preserve">SUNGAI SERUT </t>
  </si>
  <si>
    <t xml:space="preserve">KURANJI PADANG </t>
  </si>
  <si>
    <t xml:space="preserve">TAMPAN </t>
  </si>
  <si>
    <t xml:space="preserve">TENAYAN RAYA </t>
  </si>
  <si>
    <t xml:space="preserve">SURO MAKMUR </t>
  </si>
  <si>
    <t>MES1CS28744771</t>
  </si>
  <si>
    <t>SIMON</t>
  </si>
  <si>
    <t>MES1CS28742824</t>
  </si>
  <si>
    <t>MES1CS28742422</t>
  </si>
  <si>
    <t>RESTU GRAFIKA</t>
  </si>
  <si>
    <t>MES1CS28742221</t>
  </si>
  <si>
    <t>NEWTECH COM MEDAN</t>
  </si>
  <si>
    <t>MES1CS28738434</t>
  </si>
  <si>
    <t xml:space="preserve">KUTA ALAM </t>
  </si>
  <si>
    <t xml:space="preserve">SUKARAME PALEMBANG </t>
  </si>
  <si>
    <t xml:space="preserve">SELESAI </t>
  </si>
  <si>
    <t xml:space="preserve">RENGAT </t>
  </si>
  <si>
    <t xml:space="preserve">MARPOYAN DAMAI </t>
  </si>
  <si>
    <t xml:space="preserve">TERIMA </t>
  </si>
  <si>
    <t>19/12</t>
  </si>
  <si>
    <t>20/12/20205</t>
  </si>
  <si>
    <t>22/12/20025</t>
  </si>
  <si>
    <t>MES1CS28759385</t>
  </si>
  <si>
    <t>MES1CS28759194</t>
  </si>
  <si>
    <t>MES1CS28758940</t>
  </si>
  <si>
    <t>MES1CS28758799</t>
  </si>
  <si>
    <t>MES1CS28757733</t>
  </si>
  <si>
    <t>MES1CS28757667</t>
  </si>
  <si>
    <t>WARU</t>
  </si>
  <si>
    <t xml:space="preserve">DAYUN </t>
  </si>
  <si>
    <t xml:space="preserve">SAYAMTALIRA ARON </t>
  </si>
  <si>
    <t xml:space="preserve">SINGARAN PATI </t>
  </si>
  <si>
    <t xml:space="preserve">BUNGO DANI </t>
  </si>
  <si>
    <t>MES1CS28777104</t>
  </si>
  <si>
    <t>SERBA GUNA</t>
  </si>
  <si>
    <t>MES1CS28775056</t>
  </si>
  <si>
    <t xml:space="preserve">PANGKALAN SUSU </t>
  </si>
  <si>
    <t xml:space="preserve">SUNGAI PENUH </t>
  </si>
  <si>
    <t xml:space="preserve">PICKUP </t>
  </si>
  <si>
    <t xml:space="preserve">Modal awl </t>
  </si>
  <si>
    <t xml:space="preserve">modal tambahan ferdi </t>
  </si>
  <si>
    <t xml:space="preserve">tambahan modal meta ABC </t>
  </si>
  <si>
    <t>MES1CS28736634</t>
  </si>
  <si>
    <t>MES1CS28736384</t>
  </si>
  <si>
    <t>MES1CS28736313</t>
  </si>
  <si>
    <t>MES1CS28736255</t>
  </si>
  <si>
    <t>MES1CS28736089</t>
  </si>
  <si>
    <t xml:space="preserve">biaya pickup </t>
  </si>
  <si>
    <t>ABC</t>
  </si>
  <si>
    <t>MES1CS28793957</t>
  </si>
  <si>
    <t>MES1CS28793420</t>
  </si>
  <si>
    <t>EDWIN</t>
  </si>
  <si>
    <t>MANDAU</t>
  </si>
  <si>
    <t xml:space="preserve">TGL 23 </t>
  </si>
  <si>
    <t>MES1CS28810907</t>
  </si>
  <si>
    <t>MES1CS28810818</t>
  </si>
  <si>
    <t>MES1CS28809900</t>
  </si>
  <si>
    <t>MES1CS28807385</t>
  </si>
  <si>
    <t>MES1CS28805980</t>
  </si>
  <si>
    <t>SEVIS CENTER RHINO</t>
  </si>
  <si>
    <t>MES1CS28799455</t>
  </si>
  <si>
    <t>UNIVERSAL</t>
  </si>
  <si>
    <t>MES1CS28799378</t>
  </si>
  <si>
    <t>DUNIA BAYI</t>
  </si>
  <si>
    <t>MES1CS28798303</t>
  </si>
  <si>
    <t>HOMEDOKI MEDAN</t>
  </si>
  <si>
    <t>MES1CS28797811</t>
  </si>
  <si>
    <t xml:space="preserve">BANGKO </t>
  </si>
  <si>
    <t xml:space="preserve">ULEE KARENG </t>
  </si>
  <si>
    <t xml:space="preserve">PARIAMAN TENGAH </t>
  </si>
  <si>
    <t xml:space="preserve">PADANG BARAT </t>
  </si>
  <si>
    <t xml:space="preserve">RANTAU SELATAN </t>
  </si>
  <si>
    <t xml:space="preserve">PEUSANGAN </t>
  </si>
  <si>
    <t xml:space="preserve">IDI RAYEUK </t>
  </si>
  <si>
    <t xml:space="preserve">Biaya Operasional Perusahaan Desember 2025 </t>
  </si>
  <si>
    <t>NO</t>
  </si>
  <si>
    <t xml:space="preserve"> NAMA PENGELUARAN </t>
  </si>
  <si>
    <t xml:space="preserve">SISKAMLING DAN KEBERSIHAN </t>
  </si>
  <si>
    <t xml:space="preserve">GAJI SAFIRA </t>
  </si>
  <si>
    <t xml:space="preserve">GAJI ARYA </t>
  </si>
  <si>
    <t xml:space="preserve">GAJI LINA </t>
  </si>
  <si>
    <t xml:space="preserve">BIAYA LISTRIK </t>
  </si>
  <si>
    <t xml:space="preserve">BIAYA INTERNET </t>
  </si>
  <si>
    <t xml:space="preserve">BIAYA AIR </t>
  </si>
  <si>
    <t xml:space="preserve">LEMBUAR ARYA MINGGU </t>
  </si>
  <si>
    <t xml:space="preserve">TOTAL PENDAPATAN </t>
  </si>
  <si>
    <t xml:space="preserve">TOTAL PENGELUARAN </t>
  </si>
  <si>
    <t xml:space="preserve">ANGSURAN PICKUP </t>
  </si>
  <si>
    <t xml:space="preserve">TOTAL TARGET </t>
  </si>
  <si>
    <t xml:space="preserve">PENCAPAIAN </t>
  </si>
  <si>
    <t xml:space="preserve">NO </t>
  </si>
  <si>
    <r>
      <t xml:space="preserve">                                                                                                                                             </t>
    </r>
    <r>
      <rPr>
        <b/>
        <sz val="14"/>
        <rFont val="Calibri"/>
        <family val="2"/>
        <scheme val="minor"/>
      </rPr>
      <t xml:space="preserve"> LAPORAN AGEN OTONOM MITRA A MEDAN MAIMUN </t>
    </r>
  </si>
  <si>
    <t>MES1CS28824055</t>
  </si>
  <si>
    <t>MES1CS28824030</t>
  </si>
  <si>
    <t xml:space="preserve">Rawang panca Arga </t>
  </si>
  <si>
    <t xml:space="preserve">Padang hilir </t>
  </si>
  <si>
    <t>MES1CS28840297</t>
  </si>
  <si>
    <t xml:space="preserve">Padang selatan </t>
  </si>
  <si>
    <t xml:space="preserve">BTL RESI </t>
  </si>
  <si>
    <t>MES1CS28845572</t>
  </si>
  <si>
    <t xml:space="preserve">ADA BATAL RESI </t>
  </si>
  <si>
    <t>MES1CS28856105</t>
  </si>
  <si>
    <t>MES1CS28855774</t>
  </si>
  <si>
    <t>KOMPUTER MEDAN</t>
  </si>
  <si>
    <t>MES1CS28853798</t>
  </si>
  <si>
    <t>MES1CS28849963</t>
  </si>
  <si>
    <t xml:space="preserve">arga makmur </t>
  </si>
  <si>
    <t xml:space="preserve">marpoyan damai </t>
  </si>
  <si>
    <t>MES1CS28872765</t>
  </si>
  <si>
    <t>MES1CS28871863</t>
  </si>
  <si>
    <t>MES1CS28869452</t>
  </si>
  <si>
    <t>MES1CS28865354</t>
  </si>
  <si>
    <t>MES1CS28865317</t>
  </si>
  <si>
    <t>MES1CS28864835</t>
  </si>
  <si>
    <t xml:space="preserve">putri hijau </t>
  </si>
  <si>
    <t xml:space="preserve">tenayan raya </t>
  </si>
  <si>
    <t>tampan</t>
  </si>
  <si>
    <t>padang utara</t>
  </si>
  <si>
    <t xml:space="preserve">batu raja timur </t>
  </si>
  <si>
    <t xml:space="preserve">rengat </t>
  </si>
  <si>
    <t>MES1CS28885273</t>
  </si>
  <si>
    <t>MES1CS28884854</t>
  </si>
  <si>
    <t>UMAMA GALLERY MEDAN</t>
  </si>
  <si>
    <t>MES1CS28884509</t>
  </si>
  <si>
    <t>ATHENA BABY SHOP</t>
  </si>
  <si>
    <t xml:space="preserve">bandung wetan </t>
  </si>
  <si>
    <t xml:space="preserve">Padang bolak </t>
  </si>
  <si>
    <t>Lunas Pengurnag DLL</t>
  </si>
  <si>
    <t xml:space="preserve">Kurangkan dari Kas / Bank </t>
  </si>
  <si>
    <t>PENDAPATAN JANUARI 2026</t>
  </si>
  <si>
    <t>MES1CS28899902</t>
  </si>
  <si>
    <t>MES1CS28896825</t>
  </si>
  <si>
    <t xml:space="preserve">Batu aji </t>
  </si>
  <si>
    <t xml:space="preserve">curup tengah </t>
  </si>
  <si>
    <t xml:space="preserve">Modal Awal </t>
  </si>
  <si>
    <t>MES1CS28914177</t>
  </si>
  <si>
    <t>MES1CS28913623</t>
  </si>
  <si>
    <t>MES1CS28913598</t>
  </si>
  <si>
    <t>MES1CS28905195</t>
  </si>
  <si>
    <t>TOKO KULIT SERBA GUNA</t>
  </si>
  <si>
    <t>langsa barat</t>
  </si>
  <si>
    <t xml:space="preserve">Muara bungo </t>
  </si>
  <si>
    <t xml:space="preserve">Juang </t>
  </si>
  <si>
    <t xml:space="preserve">Rumbai Pesisir </t>
  </si>
  <si>
    <t xml:space="preserve">Pangkalan susu </t>
  </si>
  <si>
    <t>MES1CS28917394</t>
  </si>
  <si>
    <t>ASWIN AMIN</t>
  </si>
  <si>
    <t>siabu</t>
  </si>
  <si>
    <t>msh digudang 24/12</t>
  </si>
  <si>
    <t xml:space="preserve">pembayaran mestika januari 2025 </t>
  </si>
  <si>
    <t xml:space="preserve">tarek modal bu meta </t>
  </si>
  <si>
    <t xml:space="preserve">tarek modal ferdi </t>
  </si>
  <si>
    <t xml:space="preserve">masuk ke kas </t>
  </si>
  <si>
    <t xml:space="preserve">Modal awal menjadi </t>
  </si>
  <si>
    <t>MES1CS28932683</t>
  </si>
  <si>
    <t>MES1CS28931519</t>
  </si>
  <si>
    <t>MES1CS28931393</t>
  </si>
  <si>
    <t>MES1CS28929357</t>
  </si>
  <si>
    <t>CV MULTI SARANA PRATAMA</t>
  </si>
  <si>
    <t xml:space="preserve">duren sawit </t>
  </si>
  <si>
    <t>kota manna</t>
  </si>
  <si>
    <t xml:space="preserve">bagan sinembah </t>
  </si>
  <si>
    <t xml:space="preserve">Payung sekaki </t>
  </si>
  <si>
    <t>MES1CS28948205</t>
  </si>
  <si>
    <t>MES1CS28947035</t>
  </si>
  <si>
    <t>MES1CS28945586</t>
  </si>
  <si>
    <t>MES1CS28945431</t>
  </si>
  <si>
    <t>IMAGE ANUGRAH STUDIO</t>
  </si>
  <si>
    <t>MES1CS28942831</t>
  </si>
  <si>
    <t>PT MITRA CIPTA MAKMUR</t>
  </si>
  <si>
    <t>MES1CS28941520</t>
  </si>
  <si>
    <t>AZKO MEDAN FAIR</t>
  </si>
  <si>
    <t>MES1CS28937086</t>
  </si>
  <si>
    <t xml:space="preserve">marpoan damai </t>
  </si>
  <si>
    <t xml:space="preserve">idi rayeuk </t>
  </si>
  <si>
    <t xml:space="preserve">muara dua </t>
  </si>
  <si>
    <t xml:space="preserve">payung sekaki </t>
  </si>
  <si>
    <t xml:space="preserve">rambutan tebing tinggi </t>
  </si>
  <si>
    <t xml:space="preserve">simangambat </t>
  </si>
  <si>
    <t>MES1CS28961065</t>
  </si>
  <si>
    <t>MEME</t>
  </si>
  <si>
    <t>MES1CS28960818</t>
  </si>
  <si>
    <t>MES1CS28960698</t>
  </si>
  <si>
    <t>MES1CS28955276</t>
  </si>
  <si>
    <t>GARUDA PUSAT ELEKTRONIK</t>
  </si>
  <si>
    <t xml:space="preserve">Sagulung </t>
  </si>
  <si>
    <t>Portibi</t>
  </si>
  <si>
    <t xml:space="preserve">Tanah jambo </t>
  </si>
  <si>
    <t>MES1CS28978581</t>
  </si>
  <si>
    <t>MES1CS28978416</t>
  </si>
  <si>
    <t>MES1CS28977436</t>
  </si>
  <si>
    <t xml:space="preserve">Pasir mandoge </t>
  </si>
  <si>
    <t xml:space="preserve">Sigli </t>
  </si>
  <si>
    <t>MES1CS28968989</t>
  </si>
  <si>
    <t xml:space="preserve">Rekeniing </t>
  </si>
  <si>
    <t xml:space="preserve">Ops /transsaksi </t>
  </si>
  <si>
    <t xml:space="preserve">BNI </t>
  </si>
  <si>
    <t xml:space="preserve">Saldo laba </t>
  </si>
  <si>
    <t xml:space="preserve">Mandiri </t>
  </si>
  <si>
    <t xml:space="preserve">Saldo Modal </t>
  </si>
  <si>
    <t xml:space="preserve">minimu </t>
  </si>
  <si>
    <t>batal resi pengiriman motor sebesar 1.729.800 laba seebsar 507.690</t>
  </si>
  <si>
    <t>MES1CS28993836</t>
  </si>
  <si>
    <t>MES1CS28993711</t>
  </si>
  <si>
    <t>MES1CS28993668</t>
  </si>
  <si>
    <t>MES1CS28993390</t>
  </si>
  <si>
    <t>MES1CS28993137</t>
  </si>
  <si>
    <t>DEDI HAITAMI HOMEDOKI</t>
  </si>
  <si>
    <t>MES1CS28990768</t>
  </si>
  <si>
    <t>CV. MANDIRI SEJAHTERA</t>
  </si>
  <si>
    <t>MES1CS28989525</t>
  </si>
  <si>
    <t>MES1CS28986387</t>
  </si>
  <si>
    <t>PT. ELEKTRIKA MEDAN OTOMATIK ABADI</t>
  </si>
  <si>
    <t>MES1CS28984326</t>
  </si>
  <si>
    <t>MES1CS28984128</t>
  </si>
  <si>
    <t>PATAR SIANIPAR</t>
  </si>
  <si>
    <t>MES1CS28913668</t>
  </si>
  <si>
    <t xml:space="preserve">packing kayu ucok kodam </t>
  </si>
  <si>
    <t>Printer kayu Mes1cs2893651</t>
  </si>
  <si>
    <t xml:space="preserve">part lift 2 koli </t>
  </si>
  <si>
    <t xml:space="preserve">ucok total </t>
  </si>
  <si>
    <t>bubble</t>
  </si>
  <si>
    <t xml:space="preserve">kernet </t>
  </si>
  <si>
    <t xml:space="preserve">laba kantor </t>
  </si>
  <si>
    <t xml:space="preserve">pickup setor </t>
  </si>
  <si>
    <t xml:space="preserve">laba semalam </t>
  </si>
  <si>
    <t>salo kas tgl 10 jan</t>
  </si>
  <si>
    <t xml:space="preserve">selisih lebih </t>
  </si>
  <si>
    <t>MES1CS29005438</t>
  </si>
  <si>
    <t>MES1CS29002666</t>
  </si>
  <si>
    <t>KESUMA</t>
  </si>
  <si>
    <t>MES1CS29024230</t>
  </si>
  <si>
    <t>TOKO ZEYLA KISARAN</t>
  </si>
  <si>
    <t>MES1CS29016765</t>
  </si>
  <si>
    <t>MES1CS29016573</t>
  </si>
  <si>
    <t>MES1CS29015431</t>
  </si>
  <si>
    <t>HARIAN REALITAS</t>
  </si>
  <si>
    <t>MES1CS29036537</t>
  </si>
  <si>
    <t>MES1CS29035299</t>
  </si>
  <si>
    <t>MES1CS29034987</t>
  </si>
  <si>
    <t>MES1CS29034772</t>
  </si>
  <si>
    <t>MES1CS29032849</t>
  </si>
  <si>
    <t>MES1CS29032418</t>
  </si>
  <si>
    <t>MES1CS29030790</t>
  </si>
  <si>
    <t>MES1CS29028616</t>
  </si>
  <si>
    <t>MES1CS29054530</t>
  </si>
  <si>
    <t>MES1CS29048636</t>
  </si>
  <si>
    <t>MES1CS29048401</t>
  </si>
  <si>
    <t>MES1CS29048315</t>
  </si>
  <si>
    <t>MES1CS29045267</t>
  </si>
  <si>
    <t>RETNO</t>
  </si>
  <si>
    <t>MES1CS29068521</t>
  </si>
  <si>
    <t>MES1CS29068143</t>
  </si>
  <si>
    <t>MES1CS29065221</t>
  </si>
  <si>
    <t>MES1CS29076597</t>
  </si>
  <si>
    <t>MANDA</t>
  </si>
  <si>
    <t>MES1CS29075401</t>
  </si>
  <si>
    <t>MES1CS29091271</t>
  </si>
  <si>
    <t>SRI RAHAYU</t>
  </si>
  <si>
    <t>MES1CS29090540</t>
  </si>
  <si>
    <t>MES1CS29088385</t>
  </si>
  <si>
    <t>MES1CS29088308</t>
  </si>
  <si>
    <t>MES1CS29085330</t>
  </si>
  <si>
    <t>MES1CS29085319</t>
  </si>
  <si>
    <t>MES1CS29082880</t>
  </si>
  <si>
    <t>MES1CS29111923</t>
  </si>
  <si>
    <t>MES1CS29111165</t>
  </si>
  <si>
    <t>JIMMY</t>
  </si>
  <si>
    <t>MES1CS29104550</t>
  </si>
  <si>
    <t>MES1CS29102177</t>
  </si>
  <si>
    <t>HELEN TEXTILE</t>
  </si>
  <si>
    <t>MES1CS29102091</t>
  </si>
  <si>
    <t>MES1CS29101709</t>
  </si>
  <si>
    <t>ERNA</t>
  </si>
  <si>
    <t>MES1CS29129023</t>
  </si>
  <si>
    <t>TOKO LUMBUNG SOUVENIR</t>
  </si>
  <si>
    <t>MES1CS29127891</t>
  </si>
  <si>
    <t>MES1CS29126873</t>
  </si>
  <si>
    <t>TOKO CAHAYA REZEKI</t>
  </si>
  <si>
    <t>MES1CS29126175</t>
  </si>
  <si>
    <t>MES1CS29125800</t>
  </si>
  <si>
    <t>MES1CS29125767</t>
  </si>
  <si>
    <t>MES1CS29118477</t>
  </si>
  <si>
    <t>MES1CS29117786</t>
  </si>
  <si>
    <t>MES1CS29142882</t>
  </si>
  <si>
    <t>MES1CS29140782</t>
  </si>
  <si>
    <t>MES1CS29140684</t>
  </si>
  <si>
    <t>MES1CS29140494</t>
  </si>
  <si>
    <t>SURIANTO</t>
  </si>
  <si>
    <t>MES1CS29138900</t>
  </si>
  <si>
    <t>MES1CS29136019</t>
  </si>
  <si>
    <t>MES1CS29135403</t>
  </si>
  <si>
    <t>MES1CS29156927</t>
  </si>
  <si>
    <t>MES1CS29156867</t>
  </si>
  <si>
    <t>MES1CS29156741</t>
  </si>
  <si>
    <t>MES1CS29156670</t>
  </si>
  <si>
    <t>MES1CS29155459</t>
  </si>
  <si>
    <t>MES1CS29152060</t>
  </si>
  <si>
    <t>MES1CS29171288</t>
  </si>
  <si>
    <t>MES1CS29163589</t>
  </si>
  <si>
    <t>BOLDE STORE MEDAN KATAMSO</t>
  </si>
  <si>
    <t>MES1CS29162338</t>
  </si>
  <si>
    <t>MES1CS29186050</t>
  </si>
  <si>
    <t>SAHABAT ACC</t>
  </si>
  <si>
    <t>MES1CS29186021</t>
  </si>
  <si>
    <t>MES1CS29185996</t>
  </si>
  <si>
    <t>MES1CS29185946</t>
  </si>
  <si>
    <t>MES1CS29185917</t>
  </si>
  <si>
    <t>MES1CS29185692</t>
  </si>
  <si>
    <t>HIA FASHION</t>
  </si>
  <si>
    <t>MES1CS29180942</t>
  </si>
  <si>
    <t>MES1CS29180358</t>
  </si>
  <si>
    <t>MES1CS29175192</t>
  </si>
  <si>
    <t>TOKO RAMAI</t>
  </si>
  <si>
    <t>MES1CS29204596</t>
  </si>
  <si>
    <t>EXPRESS KOMPUTER</t>
  </si>
  <si>
    <t>MES1CS29204501</t>
  </si>
  <si>
    <t>HOTEL SANTIKA PREMIERE DYANDRA HOTEL &amp; CONVENTION</t>
  </si>
  <si>
    <t>MES1CS29203902</t>
  </si>
  <si>
    <t>MES1CS29203862</t>
  </si>
  <si>
    <t>MES1CS29203579</t>
  </si>
  <si>
    <t>MES1CS29201698</t>
  </si>
  <si>
    <t>MES1CS29201020</t>
  </si>
  <si>
    <t>MES1CS29217192</t>
  </si>
  <si>
    <t>BUNGA</t>
  </si>
  <si>
    <t>MES1CS29214726</t>
  </si>
  <si>
    <t>MES1CS29209306</t>
  </si>
  <si>
    <t>MES1CS29235087</t>
  </si>
  <si>
    <t>SAHABAT MOTOR</t>
  </si>
  <si>
    <t>MES1CS29233564</t>
  </si>
  <si>
    <t>MES1CS29233365</t>
  </si>
  <si>
    <t>MES1CS29232275</t>
  </si>
  <si>
    <t>WAN WAN</t>
  </si>
  <si>
    <t>MES1CS29230164</t>
  </si>
  <si>
    <t>MES1CS29227048</t>
  </si>
  <si>
    <t xml:space="preserve">SUDAH KEMBALI TGL 26 JANUARI 2026 </t>
  </si>
  <si>
    <t>MES1CS29248648</t>
  </si>
  <si>
    <t>MES1CS29245188</t>
  </si>
  <si>
    <t>MES1CS29243739</t>
  </si>
  <si>
    <t>INFORMA CENTER POINT BAYU</t>
  </si>
  <si>
    <t xml:space="preserve">MES1CS29226285 </t>
  </si>
  <si>
    <t>MES1CS29226483</t>
  </si>
  <si>
    <t>everbright</t>
  </si>
  <si>
    <t xml:space="preserve">motor batam </t>
  </si>
  <si>
    <t>vira</t>
  </si>
  <si>
    <t xml:space="preserve">tambahan modal backup abc </t>
  </si>
  <si>
    <t xml:space="preserve">KONTROL MODAL INDAH CARGO MAIMUN BULAN FEBRUARI 2026 </t>
  </si>
  <si>
    <t>PENDAPATAN FEBRUARI 2026</t>
  </si>
  <si>
    <t>MES1CS29258485</t>
  </si>
  <si>
    <t>MES1CS29256038</t>
  </si>
  <si>
    <t>MES1CS29255330</t>
  </si>
  <si>
    <t>WEILLY</t>
  </si>
  <si>
    <t>MES1CS29277871</t>
  </si>
  <si>
    <t>MES1CS29276084</t>
  </si>
  <si>
    <t>MES1CS29274277</t>
  </si>
  <si>
    <t>MES1CS29270538</t>
  </si>
  <si>
    <t>MES1CS29294731</t>
  </si>
  <si>
    <t>MES1CS29315489</t>
  </si>
  <si>
    <t>MES1CS29315340</t>
  </si>
  <si>
    <t>MES1CS29314552</t>
  </si>
  <si>
    <t>MES1CS29312205</t>
  </si>
  <si>
    <t>MES1CS29310475</t>
  </si>
  <si>
    <t>UD BERKAT INDAH</t>
  </si>
  <si>
    <t>MES1CS29309719</t>
  </si>
  <si>
    <t>MES1CS29306033</t>
  </si>
  <si>
    <t>MES1CS29320187</t>
  </si>
  <si>
    <t>MES1CS29347116</t>
  </si>
  <si>
    <t>MES1CS29340516</t>
  </si>
  <si>
    <t>MES1CS29340400</t>
  </si>
  <si>
    <t>MES1CS29340370</t>
  </si>
  <si>
    <t>MES1CS29339357</t>
  </si>
  <si>
    <t>MES1CS29337173</t>
  </si>
  <si>
    <t>MES1CS29336877</t>
  </si>
  <si>
    <t>SITI (ATENA BABY SHOP</t>
  </si>
  <si>
    <t>MES1CS29362501</t>
  </si>
  <si>
    <t>MES1CS29362344</t>
  </si>
  <si>
    <t>MES1CS29361209</t>
  </si>
  <si>
    <t>MES1CS29360658</t>
  </si>
  <si>
    <t>MES1CS29357408</t>
  </si>
  <si>
    <t>MES1CS29355731</t>
  </si>
  <si>
    <t>MAMI CHATY</t>
  </si>
  <si>
    <t>MES1CS29355575</t>
  </si>
  <si>
    <t>MES1CS29354664</t>
  </si>
  <si>
    <t>MES1CS29376091</t>
  </si>
  <si>
    <t>MES1CS29375895</t>
  </si>
  <si>
    <t>FERI</t>
  </si>
  <si>
    <t>MES1CS29370606</t>
  </si>
  <si>
    <t>MES1CS29370412</t>
  </si>
  <si>
    <t>MES1CS29367027</t>
  </si>
  <si>
    <t>MES1CS29366542</t>
  </si>
  <si>
    <t>TRENDS GORDYN</t>
  </si>
  <si>
    <t>MES1CS29366455</t>
  </si>
  <si>
    <t>MES1CS29395950</t>
  </si>
  <si>
    <t>BALANCE JAYA / WILLY MEDAN</t>
  </si>
  <si>
    <t>MES1CS29394923</t>
  </si>
  <si>
    <t>FELIX</t>
  </si>
  <si>
    <t>MES1CS29390853</t>
  </si>
  <si>
    <t>MES1CS29387211</t>
  </si>
  <si>
    <t>MES1CS29387156</t>
  </si>
  <si>
    <t>MES1CS29413184</t>
  </si>
  <si>
    <t>MES1CS29412593</t>
  </si>
  <si>
    <t>MES1CS29407653</t>
  </si>
  <si>
    <t>MES1CS29407551</t>
  </si>
  <si>
    <t>MES1CS29404911</t>
  </si>
  <si>
    <t>MES1CS29428217</t>
  </si>
  <si>
    <t>MES1CS29422649</t>
  </si>
  <si>
    <t>DESAIN GORDYN</t>
  </si>
  <si>
    <t>MES1CS29420907</t>
  </si>
  <si>
    <t>MES1CS29420472</t>
  </si>
  <si>
    <t>SUNNY PRINTING</t>
  </si>
  <si>
    <t>MES1CS29444637</t>
  </si>
  <si>
    <t>MES1CS29442425</t>
  </si>
  <si>
    <t>TOKO DINASTY</t>
  </si>
  <si>
    <t>MES1CS29442114</t>
  </si>
  <si>
    <t>MES1CS29454565</t>
  </si>
  <si>
    <t>MES1CS29453695</t>
  </si>
  <si>
    <t>MES1CS29453632</t>
  </si>
  <si>
    <t>TUNAS KALENDER</t>
  </si>
  <si>
    <t>MES1CS29451236</t>
  </si>
  <si>
    <t>TIVOLI GORDEN</t>
  </si>
  <si>
    <t>MES1CS29451148</t>
  </si>
  <si>
    <t>MES1CS29451122</t>
  </si>
  <si>
    <t>MES1CS29471686</t>
  </si>
  <si>
    <t>MES1CS29477429</t>
  </si>
  <si>
    <t>AYU SAFITRI</t>
  </si>
  <si>
    <t>MES1CS29485573</t>
  </si>
  <si>
    <t>MES1CS29496884</t>
  </si>
  <si>
    <t>MES1CS29513508</t>
  </si>
  <si>
    <t>PUJA ZANNATIN</t>
  </si>
  <si>
    <t>MES1CS29512974</t>
  </si>
  <si>
    <t>MES1CS29512869</t>
  </si>
  <si>
    <t>MES1CS29511412</t>
  </si>
  <si>
    <t>MES1CS29505765</t>
  </si>
  <si>
    <t>LOHOT INFORMA</t>
  </si>
  <si>
    <t>MES1CS29530318</t>
  </si>
  <si>
    <t>MES1CS29527213</t>
  </si>
  <si>
    <t>PROKREATIF.COM</t>
  </si>
  <si>
    <t>MES1CS29439387</t>
  </si>
  <si>
    <t>MUTIARA  ACC</t>
  </si>
  <si>
    <t>MES1CS29439346</t>
  </si>
  <si>
    <t>MES1CS29404452</t>
  </si>
  <si>
    <t>ATHENA  BABY SHOP</t>
  </si>
  <si>
    <t>MES1CS29403017</t>
  </si>
  <si>
    <t>MES1CS29402747</t>
  </si>
  <si>
    <t>MES1CS29544646</t>
  </si>
  <si>
    <t>PT CENTECH METALS ENGINEERING</t>
  </si>
  <si>
    <t>MES1CS29541397</t>
  </si>
  <si>
    <t>MES1CS29538109</t>
  </si>
  <si>
    <t>MES1CS29538068</t>
  </si>
  <si>
    <t>MES1CS29537312</t>
  </si>
  <si>
    <t>MES1CS29537288</t>
  </si>
  <si>
    <t>MES1CS29562058</t>
  </si>
  <si>
    <t>MES1CS29561086</t>
  </si>
  <si>
    <t>MES1CS29559946</t>
  </si>
  <si>
    <t>MES1CS29556263</t>
  </si>
  <si>
    <t>MES1CS29581807</t>
  </si>
  <si>
    <t>MES1CS29578348</t>
  </si>
  <si>
    <t>MES1CS29575508</t>
  </si>
  <si>
    <t>MES1CS29574389</t>
  </si>
  <si>
    <t>MES1CS29573662</t>
  </si>
  <si>
    <t>CANIA BATIK C.P.M</t>
  </si>
  <si>
    <t>MES1CS29572410</t>
  </si>
  <si>
    <t>MES1CS29569849</t>
  </si>
  <si>
    <t>MES1CS29569743</t>
  </si>
  <si>
    <t>MES1CS29599943</t>
  </si>
  <si>
    <t>MES1CS29599883</t>
  </si>
  <si>
    <t>MES1CS29599055</t>
  </si>
  <si>
    <t>MES1CS29597538</t>
  </si>
  <si>
    <t>MES1CS29597376</t>
  </si>
  <si>
    <t>MES1CS29592167</t>
  </si>
  <si>
    <t>MES1CS29615421</t>
  </si>
  <si>
    <t>MES1CS29614728</t>
  </si>
  <si>
    <t>MES1CS29614499</t>
  </si>
  <si>
    <t>MES1CS29614235</t>
  </si>
  <si>
    <t>MES1CS29613010</t>
  </si>
  <si>
    <t>MES1CS29610019</t>
  </si>
  <si>
    <t>MES1CS29606441</t>
  </si>
  <si>
    <t>MES1CS29603874</t>
  </si>
  <si>
    <t>BUDI STIKER</t>
  </si>
  <si>
    <t>MES1CS29632681</t>
  </si>
  <si>
    <t>MES1CS29632294</t>
  </si>
  <si>
    <t>UD UNION TECHNICK</t>
  </si>
  <si>
    <t>MES1CS29623707</t>
  </si>
  <si>
    <t>MES1CS29645718</t>
  </si>
  <si>
    <t>ZANNATIN</t>
  </si>
  <si>
    <t>MES1CS29640514</t>
  </si>
  <si>
    <t>MES1CS29640438</t>
  </si>
  <si>
    <t>MES1CS29639773</t>
  </si>
  <si>
    <t>BUDI STICKER</t>
  </si>
  <si>
    <t>MES1CS29662440</t>
  </si>
  <si>
    <t>MES1CS29659108</t>
  </si>
  <si>
    <t>MUTIARA</t>
  </si>
  <si>
    <t>MES1CS29523927</t>
  </si>
  <si>
    <t>MES1CS29684917</t>
  </si>
  <si>
    <t>MES1CS29681148</t>
  </si>
  <si>
    <t>MES1CS29678924</t>
  </si>
  <si>
    <t>MES1CS29678574</t>
  </si>
  <si>
    <t>ITING</t>
  </si>
  <si>
    <t>MES1CS29678194</t>
  </si>
  <si>
    <t>MES1CS29677477</t>
  </si>
  <si>
    <t>MES1CS29673313</t>
  </si>
  <si>
    <t>SENTOSA</t>
  </si>
  <si>
    <t>MES1CS29703571</t>
  </si>
  <si>
    <t>AMIN SYUKUR</t>
  </si>
  <si>
    <t>MES1CS29702980</t>
  </si>
  <si>
    <t>MITRA MEDAN</t>
  </si>
  <si>
    <t>MES1CS29700329</t>
  </si>
  <si>
    <t>INDOKARYA JAYA</t>
  </si>
  <si>
    <t>MES1CS29695699</t>
  </si>
  <si>
    <t>MES1CS29692565</t>
  </si>
  <si>
    <t>TANTRI OLSHOP</t>
  </si>
  <si>
    <t>MES1CS29717943</t>
  </si>
  <si>
    <t>RAMALA</t>
  </si>
  <si>
    <t>MES1CS29711405</t>
  </si>
  <si>
    <t>MES1CS29738886</t>
  </si>
  <si>
    <t>MES1CS29738776</t>
  </si>
  <si>
    <t>MES1CS29736253</t>
  </si>
  <si>
    <t>MES1CS29731849</t>
  </si>
  <si>
    <t>MES1CS29727350</t>
  </si>
  <si>
    <t>MES1CS29755204</t>
  </si>
  <si>
    <t>MES1CS29755051</t>
  </si>
  <si>
    <t>MES1CS29746143</t>
  </si>
  <si>
    <t>MES1CS29771853</t>
  </si>
  <si>
    <t>MES1CS29767928</t>
  </si>
  <si>
    <t>MULTI SARANA PRATAMA</t>
  </si>
  <si>
    <t>MES1CS29795601</t>
  </si>
  <si>
    <t>MES1CS29795533</t>
  </si>
  <si>
    <t>MES1CS29795432</t>
  </si>
  <si>
    <t>MES1CS29795317</t>
  </si>
  <si>
    <t>MES1CS29795023</t>
  </si>
  <si>
    <t>MES1CS29794218</t>
  </si>
  <si>
    <t>MES1CS29792263</t>
  </si>
  <si>
    <t>MES1CS29789826</t>
  </si>
  <si>
    <t>SWEETHOME</t>
  </si>
  <si>
    <t>MES1CS29788277</t>
  </si>
  <si>
    <t>DELLA OKTAVIANI</t>
  </si>
  <si>
    <t>MES1CS29786573</t>
  </si>
  <si>
    <t>MES1CS29812846</t>
  </si>
  <si>
    <t>MES1CS29807467</t>
  </si>
  <si>
    <t>INFORMA JUANDA</t>
  </si>
  <si>
    <t>MES1CS29807430</t>
  </si>
  <si>
    <t>MES1CS29806546</t>
  </si>
  <si>
    <t>HFD</t>
  </si>
  <si>
    <t>MES1CS29806464</t>
  </si>
  <si>
    <t>MES1CS29806431</t>
  </si>
  <si>
    <t>MES1CS29804032</t>
  </si>
  <si>
    <t>MES1CS29831807</t>
  </si>
  <si>
    <t>MES1CS29832067</t>
  </si>
  <si>
    <t>MES1CS29832016</t>
  </si>
  <si>
    <t>MES1CS29831928</t>
  </si>
  <si>
    <t>MES1CS29824685</t>
  </si>
  <si>
    <t>MES1CS29822775</t>
  </si>
  <si>
    <t>PINMOOD</t>
  </si>
  <si>
    <t>MES1CS29845363</t>
  </si>
  <si>
    <t>MES1CS29841065</t>
  </si>
  <si>
    <t>MES1CS29840888</t>
  </si>
  <si>
    <t>MES1CS29840066</t>
  </si>
  <si>
    <t>MES1CS29838032</t>
  </si>
  <si>
    <t>MES1CS29528899</t>
  </si>
  <si>
    <t>MES1CS29864220</t>
  </si>
  <si>
    <t>MES1CS29864127</t>
  </si>
  <si>
    <t>MES1CS29858092</t>
  </si>
  <si>
    <t>MES1CS29855527</t>
  </si>
  <si>
    <t>MES1CS29855496</t>
  </si>
  <si>
    <t>MES1CS29855387</t>
  </si>
  <si>
    <t>MES1CS29878426</t>
  </si>
  <si>
    <t>MES1CS29877073</t>
  </si>
  <si>
    <t>MES1CS29871660</t>
  </si>
  <si>
    <t>MES1CS29871314</t>
  </si>
  <si>
    <t>PUTRA</t>
  </si>
  <si>
    <t>MES1CS29882924</t>
  </si>
  <si>
    <t>WINZA</t>
  </si>
  <si>
    <t>MES1CS29882916</t>
  </si>
  <si>
    <t>MES1CS29895323</t>
  </si>
  <si>
    <t>MES1CS29895309</t>
  </si>
  <si>
    <t>MES1CS29893516</t>
  </si>
  <si>
    <t>MES1CS29890821</t>
  </si>
  <si>
    <t xml:space="preserve">paket masih di gudang </t>
  </si>
  <si>
    <t>sudah diterima 03/03</t>
  </si>
  <si>
    <t xml:space="preserve">btl resi rincian sbb </t>
  </si>
  <si>
    <t xml:space="preserve">Pickup </t>
  </si>
  <si>
    <t>ABC Invoice</t>
  </si>
  <si>
    <t xml:space="preserve">ABC baru </t>
  </si>
  <si>
    <t>PENDAPATAN MARET 2026</t>
  </si>
  <si>
    <t>PENDAPATAN APRIL 2026</t>
  </si>
  <si>
    <t>MES1CS29911166</t>
  </si>
  <si>
    <t>MES1CS29911151</t>
  </si>
  <si>
    <t>MES1CS29911063</t>
  </si>
  <si>
    <t>MES1CS29915242</t>
  </si>
  <si>
    <t>MES1CS29924242</t>
  </si>
  <si>
    <t>CV. METRO ELEKTRONIK</t>
  </si>
  <si>
    <t>MES1CS29932321</t>
  </si>
  <si>
    <t>MES1CS29931334</t>
  </si>
  <si>
    <t>MES1CS29942853</t>
  </si>
  <si>
    <t>MES1CS29942402</t>
  </si>
  <si>
    <t>MES1CS29940279</t>
  </si>
  <si>
    <t>MES1CS29938622</t>
  </si>
  <si>
    <t>MES1CS29937039</t>
  </si>
  <si>
    <t>MES1CS29936155</t>
  </si>
  <si>
    <t>MES1CS29935416</t>
  </si>
  <si>
    <t>MES1CS29949558</t>
  </si>
  <si>
    <t>WESLI</t>
  </si>
  <si>
    <t>MES1CS29949004</t>
  </si>
  <si>
    <t>MES1CS29963800</t>
  </si>
  <si>
    <t>MES1CS29967789</t>
  </si>
  <si>
    <t>MES1CS29980870</t>
  </si>
  <si>
    <t>MES1CS29977276</t>
  </si>
  <si>
    <t>AMIN SYUKUR INFORMA</t>
  </si>
  <si>
    <t>MES1CS29976449</t>
  </si>
  <si>
    <t>SALIM JAYA</t>
  </si>
  <si>
    <t>MES1CS29992284</t>
  </si>
  <si>
    <t>MES1CS29991473</t>
  </si>
  <si>
    <t>ARIF INFORMA</t>
  </si>
  <si>
    <t>MES1CS29989057</t>
  </si>
  <si>
    <t>MES1CS29989028</t>
  </si>
  <si>
    <t>MES1CS29988976</t>
  </si>
  <si>
    <t>MES1CS30005720</t>
  </si>
  <si>
    <t>TATA COLLETION</t>
  </si>
  <si>
    <t>MES1CS30005053</t>
  </si>
  <si>
    <t>MES1CS30001610</t>
  </si>
  <si>
    <t>MES1CS30001582</t>
  </si>
  <si>
    <t>MES1CS30024219</t>
  </si>
  <si>
    <t>MES1CS30021744</t>
  </si>
  <si>
    <t>MES1CS30018475</t>
  </si>
  <si>
    <t>JONI EFENDI</t>
  </si>
  <si>
    <t>MES1CS30018387</t>
  </si>
  <si>
    <t>MUHAMMAD SYAHDAN</t>
  </si>
  <si>
    <t>MES1CS30017582</t>
  </si>
  <si>
    <t>PT. LAYSANDER TECHNOLOGY</t>
  </si>
  <si>
    <t>MES1CS30016683</t>
  </si>
  <si>
    <t>MES1CS30029571</t>
  </si>
  <si>
    <t>BANG BENI</t>
  </si>
  <si>
    <t>MES1CS30045145</t>
  </si>
  <si>
    <t>MES1CS30040354</t>
  </si>
  <si>
    <t>MES1CS30036500</t>
  </si>
  <si>
    <t>MES1CS30059674</t>
  </si>
  <si>
    <t>ELITE</t>
  </si>
  <si>
    <t>MES1CS30059626</t>
  </si>
  <si>
    <t>MES1CS30059562</t>
  </si>
  <si>
    <t>MES1CS30059494</t>
  </si>
  <si>
    <t>MES1CS30059419</t>
  </si>
  <si>
    <t>MES1CS30059329</t>
  </si>
  <si>
    <t>MES1CS30059242</t>
  </si>
  <si>
    <t>MES1CS30056690</t>
  </si>
  <si>
    <t>MES1CS30056665</t>
  </si>
  <si>
    <t>MES1CS30056603</t>
  </si>
  <si>
    <t>MES1CS30080224</t>
  </si>
  <si>
    <t>MES1CS30094672</t>
  </si>
  <si>
    <t>KOSIM</t>
  </si>
  <si>
    <t>MES1CS30086548</t>
  </si>
  <si>
    <t>MES1CS30085532</t>
  </si>
  <si>
    <t>MES1CS30085504</t>
  </si>
  <si>
    <t>MES1CS30104775</t>
  </si>
  <si>
    <t>MES1CS30103691</t>
  </si>
  <si>
    <t>SRM HAMMER</t>
  </si>
  <si>
    <t>MES1CS30101667</t>
  </si>
  <si>
    <t>MES1CS30099476</t>
  </si>
  <si>
    <t>MES1CS30123325</t>
  </si>
  <si>
    <t>MES1CS30122821</t>
  </si>
  <si>
    <t>CR MEDAN</t>
  </si>
  <si>
    <t>MES1CS30121596</t>
  </si>
  <si>
    <t>TOMMY</t>
  </si>
  <si>
    <t>MES1CS30121027</t>
  </si>
  <si>
    <t>MES1CS30135955</t>
  </si>
  <si>
    <t>MES1CS30140395</t>
  </si>
  <si>
    <t>ANDI</t>
  </si>
  <si>
    <t>MES1CS30168377</t>
  </si>
  <si>
    <t>MES1CS30167533</t>
  </si>
  <si>
    <t>MES1CS30167487</t>
  </si>
  <si>
    <t>MES1CS30167424</t>
  </si>
  <si>
    <t>MES1CS30166693</t>
  </si>
  <si>
    <t>MES1CS30164860</t>
  </si>
  <si>
    <t>MES1CS30183106</t>
  </si>
  <si>
    <t>MES1CS30183045</t>
  </si>
  <si>
    <t>MES1CS30182576</t>
  </si>
  <si>
    <t>EXPRESS COM</t>
  </si>
  <si>
    <t>MES1CS30177345</t>
  </si>
  <si>
    <t>FURNIPEDIA</t>
  </si>
  <si>
    <t>MES1CS30175792</t>
  </si>
  <si>
    <t>FRIEL HOMEDOKI</t>
  </si>
  <si>
    <t>MES1CS30175557</t>
  </si>
  <si>
    <t>MES1CS30197087</t>
  </si>
  <si>
    <t>MES1CS30196139</t>
  </si>
  <si>
    <t>MES1CS30195865</t>
  </si>
  <si>
    <t>MES1CS30194040</t>
  </si>
  <si>
    <t>MES1CS30193735</t>
  </si>
  <si>
    <t>MES1CS30193648</t>
  </si>
  <si>
    <t>MES1CS30191756</t>
  </si>
  <si>
    <t xml:space="preserve">BB Disistem tgl 18 april  </t>
  </si>
  <si>
    <t>MES1CS30092094</t>
  </si>
  <si>
    <t xml:space="preserve">tak ada di resi </t>
  </si>
  <si>
    <t>MES1CS30115001</t>
  </si>
  <si>
    <t>MES1CS30210820</t>
  </si>
  <si>
    <t>TUNAS MEKAR PERC</t>
  </si>
  <si>
    <t>MES1CS30209164</t>
  </si>
  <si>
    <t>MES1CS30209008</t>
  </si>
  <si>
    <t>MES1CS30208701</t>
  </si>
  <si>
    <t>MES1CS30224880</t>
  </si>
  <si>
    <t>TK LARIS KADO</t>
  </si>
  <si>
    <t>MES1CS30224424</t>
  </si>
  <si>
    <t>BEST BUY</t>
  </si>
  <si>
    <t>MES1CS30224358</t>
  </si>
  <si>
    <t>MES1CS30224216</t>
  </si>
  <si>
    <t>MES1CS30223905</t>
  </si>
  <si>
    <t>MES1CS30220710</t>
  </si>
  <si>
    <t>MES1CS30128010</t>
  </si>
  <si>
    <t xml:space="preserve">ABC </t>
  </si>
  <si>
    <t xml:space="preserve">pickup </t>
  </si>
  <si>
    <t xml:space="preserve">Pembagaian Pendapat </t>
  </si>
  <si>
    <t xml:space="preserve">Total Pendapatan Katamso </t>
  </si>
  <si>
    <t>Total Pendapatan Maimun</t>
  </si>
  <si>
    <t xml:space="preserve">Laba Katamso </t>
  </si>
  <si>
    <t xml:space="preserve">Laba Maimun </t>
  </si>
  <si>
    <t xml:space="preserve">Pendapatan dari Packing : </t>
  </si>
  <si>
    <t xml:space="preserve">Total Pendapatan </t>
  </si>
  <si>
    <t xml:space="preserve">Total Pengeluaran </t>
  </si>
  <si>
    <t xml:space="preserve">Laba </t>
  </si>
  <si>
    <t>Target Aprl</t>
  </si>
  <si>
    <t xml:space="preserve">Capain </t>
  </si>
  <si>
    <t xml:space="preserve">Pendapatan dari Bubble/ Packing </t>
  </si>
  <si>
    <t xml:space="preserve">BELI SPIDOL </t>
  </si>
  <si>
    <t xml:space="preserve">Keterangan </t>
  </si>
  <si>
    <t>uang keluar</t>
  </si>
  <si>
    <t xml:space="preserve">uang masuk </t>
  </si>
  <si>
    <t xml:space="preserve">Beli Kayu </t>
  </si>
  <si>
    <t xml:space="preserve">Upah </t>
  </si>
  <si>
    <t xml:space="preserve">LEMBUAR minggu dan hari libur </t>
  </si>
  <si>
    <t xml:space="preserve">IKLAN MAIMUN dan katamso </t>
  </si>
  <si>
    <t>Buble atika</t>
  </si>
  <si>
    <t>Bubble</t>
  </si>
  <si>
    <t>bubbe maimun</t>
  </si>
  <si>
    <t>bubbe arep katamso</t>
  </si>
  <si>
    <t xml:space="preserve">bubble keripik </t>
  </si>
  <si>
    <t xml:space="preserve">materai </t>
  </si>
  <si>
    <t xml:space="preserve">kotak </t>
  </si>
  <si>
    <t>upah mora</t>
  </si>
  <si>
    <t xml:space="preserve">packing kayu tv </t>
  </si>
  <si>
    <t xml:space="preserve">upah packing </t>
  </si>
  <si>
    <t xml:space="preserve">lain lain </t>
  </si>
  <si>
    <t xml:space="preserve">Bubble plus kotak </t>
  </si>
  <si>
    <t xml:space="preserve">packing goni </t>
  </si>
  <si>
    <t xml:space="preserve">bubble </t>
  </si>
  <si>
    <t xml:space="preserve">Bubble ban Vino </t>
  </si>
  <si>
    <t xml:space="preserve">upah bubble </t>
  </si>
  <si>
    <t>beli bubble</t>
  </si>
  <si>
    <t xml:space="preserve">Bubble 2 koli </t>
  </si>
  <si>
    <t>Packing kayu mestika</t>
  </si>
  <si>
    <t xml:space="preserve">upah </t>
  </si>
  <si>
    <t xml:space="preserve">buble atika </t>
  </si>
  <si>
    <t xml:space="preserve">upah buble </t>
  </si>
  <si>
    <t xml:space="preserve">minyak pickup subsidi </t>
  </si>
  <si>
    <t xml:space="preserve">Buble sepeda lipat </t>
  </si>
  <si>
    <t xml:space="preserve">buble mesin capit </t>
  </si>
  <si>
    <t xml:space="preserve">Laba dari Packing </t>
  </si>
  <si>
    <t xml:space="preserve">Sewa Kantor Katamso </t>
  </si>
  <si>
    <t xml:space="preserve">Pendapatan Indah Cargo </t>
  </si>
  <si>
    <t xml:space="preserve">Pendapatan Packing </t>
  </si>
  <si>
    <t xml:space="preserve">Pedapatan Maxim </t>
  </si>
  <si>
    <t xml:space="preserve">Pendapatan dari MAXIM </t>
  </si>
  <si>
    <t xml:space="preserve">fee ucok </t>
  </si>
  <si>
    <t>Maxim /sewa</t>
  </si>
  <si>
    <t xml:space="preserve">Biaya </t>
  </si>
  <si>
    <t xml:space="preserve">Indah Cargo </t>
  </si>
  <si>
    <t xml:space="preserve">Packing </t>
  </si>
  <si>
    <t xml:space="preserve">Maxim </t>
  </si>
  <si>
    <t xml:space="preserve">LABA Perusahaan Bulan April 2026 </t>
  </si>
  <si>
    <t xml:space="preserve">Gaji Boby </t>
  </si>
  <si>
    <t xml:space="preserve">maxim ada yang tanggal 01 sama yang abc </t>
  </si>
  <si>
    <t>MES1CS30241441</t>
  </si>
  <si>
    <t>MES1CS30240976</t>
  </si>
  <si>
    <t>AZKO</t>
  </si>
  <si>
    <t>MES1CS30240405</t>
  </si>
  <si>
    <t>MES1CS30239901</t>
  </si>
  <si>
    <t>PRIMA HYDRAULYC</t>
  </si>
  <si>
    <t>MES1CS30253914</t>
  </si>
  <si>
    <t>MES1CS30252938</t>
  </si>
  <si>
    <t>MES1CS30269277</t>
  </si>
  <si>
    <t>MES1CS30267549</t>
  </si>
  <si>
    <t>MES1CS30261838</t>
  </si>
  <si>
    <t>PT. ZHULIAN AZANA NETWORK</t>
  </si>
  <si>
    <t>MES1CS30260665</t>
  </si>
  <si>
    <t>MES1CS30281797</t>
  </si>
  <si>
    <t>MES1CS30281485</t>
  </si>
  <si>
    <t>AW ZONE</t>
  </si>
  <si>
    <t>MES1CS30276700</t>
  </si>
  <si>
    <t>KING SOCKS</t>
  </si>
  <si>
    <t>MES1CS30297098</t>
  </si>
  <si>
    <t>MES1CS30297053</t>
  </si>
  <si>
    <t>MES1CS30295978</t>
  </si>
  <si>
    <t>TOMY</t>
  </si>
  <si>
    <t>MES1CS30308147</t>
  </si>
  <si>
    <t>MES1CS30307889</t>
  </si>
  <si>
    <t>TOKO KING</t>
  </si>
  <si>
    <t>MES1CS30306247</t>
  </si>
  <si>
    <t>MES1CS30306105</t>
  </si>
  <si>
    <t>HOMEDOKI</t>
  </si>
  <si>
    <t>MES1CS30305109</t>
  </si>
  <si>
    <t>MES1CS30304920</t>
  </si>
  <si>
    <t>MES1CS30327221</t>
  </si>
  <si>
    <t>MES1CS30327005</t>
  </si>
  <si>
    <t>MES1CS30326926</t>
  </si>
  <si>
    <t>MES1CS30340299</t>
  </si>
  <si>
    <t>MES1CS30332841</t>
  </si>
  <si>
    <t>MES1CS30355319</t>
  </si>
  <si>
    <t>MES1CS30353629</t>
  </si>
  <si>
    <t>I3K</t>
  </si>
  <si>
    <t>MES1CS30351949</t>
  </si>
  <si>
    <t>MES1CS30347727</t>
  </si>
  <si>
    <t>MES1CS30347512</t>
  </si>
  <si>
    <t>MES1CS30345911</t>
  </si>
  <si>
    <t>MES1CS30345631</t>
  </si>
  <si>
    <t>MES1CS30370131</t>
  </si>
  <si>
    <t>MES1CS30194284</t>
  </si>
  <si>
    <t>MES1CS30232221</t>
  </si>
  <si>
    <t>MES1CS30387996</t>
  </si>
  <si>
    <t>MES1CS30383996</t>
  </si>
  <si>
    <t>MES1CS30375964</t>
  </si>
  <si>
    <t>MES1CS30404634</t>
  </si>
  <si>
    <t>MES1CS30403747</t>
  </si>
  <si>
    <t>MES1CS30402865</t>
  </si>
  <si>
    <t>MES1CS30402363</t>
  </si>
  <si>
    <t>LOGAM PELITA</t>
  </si>
  <si>
    <t>MES1CS30399371</t>
  </si>
  <si>
    <t>MES1CS30399361</t>
  </si>
  <si>
    <t>GALERI TOKO SALON</t>
  </si>
  <si>
    <t>MES1CS30422729</t>
  </si>
  <si>
    <t>MES1CS30422626</t>
  </si>
  <si>
    <t>MES1CS30416414</t>
  </si>
  <si>
    <t>PT. DWI ERASCENT</t>
  </si>
  <si>
    <t>MES1CS30412806</t>
  </si>
  <si>
    <t>MES1CS30432274</t>
  </si>
  <si>
    <t>MES1CS30452640</t>
  </si>
  <si>
    <t>MES1CS30448781</t>
  </si>
  <si>
    <t>MES1CS30448709</t>
  </si>
  <si>
    <t>MES1CS30444400</t>
  </si>
  <si>
    <t>MES1CS30467191</t>
  </si>
  <si>
    <t>MES1CS30465961</t>
  </si>
  <si>
    <t>MES1CS30465841</t>
  </si>
  <si>
    <t>MES1CS30463784</t>
  </si>
  <si>
    <t>RICKY</t>
  </si>
  <si>
    <t>MES1CS30461106</t>
  </si>
  <si>
    <t>MES1CS30457509</t>
  </si>
  <si>
    <t>MES1CS30481855</t>
  </si>
  <si>
    <t>MES1CS30471233</t>
  </si>
  <si>
    <t>MES1CS30499296</t>
  </si>
  <si>
    <t>MES1CS30499194</t>
  </si>
  <si>
    <t>MES1CS30492131</t>
  </si>
  <si>
    <t>MES1CS30492115</t>
  </si>
  <si>
    <t>MES1CS30512979</t>
  </si>
  <si>
    <t>MES1CS30512194</t>
  </si>
  <si>
    <t>MES1CS30512172</t>
  </si>
  <si>
    <t>MES1CS30512013</t>
  </si>
  <si>
    <t>MES1CS30505730</t>
  </si>
  <si>
    <t>MES1CS30503499</t>
  </si>
  <si>
    <t>VZ MEDAN</t>
  </si>
  <si>
    <t>MES1CS30527212</t>
  </si>
  <si>
    <t>MES1CS30527181</t>
  </si>
  <si>
    <t>MES1CS30523677</t>
  </si>
  <si>
    <t>MES1CS30523590</t>
  </si>
  <si>
    <t>MES1CS30523499</t>
  </si>
  <si>
    <t>MES1CS30548678</t>
  </si>
  <si>
    <t>MES1CS30546866</t>
  </si>
  <si>
    <t>OLGA</t>
  </si>
  <si>
    <t>MES1CS30546097</t>
  </si>
  <si>
    <t>MES1CS30543286</t>
  </si>
  <si>
    <t>WAGINO</t>
  </si>
  <si>
    <t>MES1CS30541092</t>
  </si>
  <si>
    <t>MES1CS30539103</t>
  </si>
  <si>
    <t>MES1CS30538784</t>
  </si>
  <si>
    <t>MES1CS30560291</t>
  </si>
  <si>
    <t>MES1CS30556818</t>
  </si>
  <si>
    <t>MES1CS30555723</t>
  </si>
  <si>
    <t>MES1CS30579399</t>
  </si>
  <si>
    <t>MES1CS30578718</t>
  </si>
  <si>
    <t>MES1CS30578475</t>
  </si>
  <si>
    <t>MES1CS30578372</t>
  </si>
  <si>
    <t>MES1CS30576085</t>
  </si>
  <si>
    <t>MES1CS30567900</t>
  </si>
  <si>
    <t>MES1CS30593408</t>
  </si>
  <si>
    <t>MES1CS30583155</t>
  </si>
  <si>
    <t>MES1CS30606430</t>
  </si>
  <si>
    <t>MES1CS30599848</t>
  </si>
  <si>
    <t>MES1CS30598521</t>
  </si>
  <si>
    <t>DEKORUMA</t>
  </si>
  <si>
    <t>MES1CS516030621778</t>
  </si>
  <si>
    <t>MES1CS891730635353</t>
  </si>
  <si>
    <t>MES1CS669130635289</t>
  </si>
  <si>
    <t>MES1CS825230634237</t>
  </si>
  <si>
    <t>SJB MEDAN</t>
  </si>
  <si>
    <t>MES1CS356530628810</t>
  </si>
  <si>
    <t>ST. VERONICA AMBARITA</t>
  </si>
  <si>
    <t>MES1CS376930628754</t>
  </si>
  <si>
    <t>MES1CS256030627708</t>
  </si>
  <si>
    <t>HELEN TEX</t>
  </si>
  <si>
    <t>MES1CS136430657831</t>
  </si>
  <si>
    <t>MES1CS469330675805</t>
  </si>
  <si>
    <t>MES1CS600130668790</t>
  </si>
  <si>
    <t>ALL AKSESORIS</t>
  </si>
  <si>
    <t>MES1CS30335177</t>
  </si>
  <si>
    <t>MES1CS30361524</t>
  </si>
  <si>
    <t>MES1CS30361564</t>
  </si>
  <si>
    <t>MES1CS30400645</t>
  </si>
  <si>
    <t>MES1CS30412121</t>
  </si>
  <si>
    <t>MES1CS30412084</t>
  </si>
  <si>
    <t>MES1CS30442984</t>
  </si>
  <si>
    <t>MES1CS30458675</t>
  </si>
  <si>
    <t>MES1CS30493244</t>
  </si>
  <si>
    <t>MES1CS30493380</t>
  </si>
  <si>
    <t>MES1CS30606604</t>
  </si>
  <si>
    <t>MES1CS30606664</t>
  </si>
  <si>
    <t>MES1CS30597709</t>
  </si>
  <si>
    <t>MES1CS30606748</t>
  </si>
  <si>
    <t>MES1CS30569652</t>
  </si>
  <si>
    <t xml:space="preserve">tidak mau bayar BB </t>
  </si>
  <si>
    <t xml:space="preserve">28 April Sudah Diterima </t>
  </si>
  <si>
    <t xml:space="preserve">29 April Sudah Diterima </t>
  </si>
  <si>
    <t xml:space="preserve">16 Maret paket telah diterima </t>
  </si>
  <si>
    <t>230/04/2026</t>
  </si>
  <si>
    <t xml:space="preserve">28 Mei 2026 </t>
  </si>
  <si>
    <t>pickup + btl resi '</t>
  </si>
  <si>
    <t xml:space="preserve">29 mei 2026 </t>
  </si>
  <si>
    <t>MES1CS476530693583</t>
  </si>
  <si>
    <t>MES1CS261030689794</t>
  </si>
  <si>
    <t>RENSA WALLPAPER</t>
  </si>
  <si>
    <t>MES1CS564630625681</t>
  </si>
  <si>
    <t>PENDAPATAN MEI 2026</t>
  </si>
  <si>
    <t>GAJI RATIH</t>
  </si>
  <si>
    <t xml:space="preserve">GAJI DETA </t>
  </si>
  <si>
    <t xml:space="preserve">BIAYA LISTRIK MAIMUN </t>
  </si>
  <si>
    <t xml:space="preserve">BAYAR PULSA HP KANTOR </t>
  </si>
  <si>
    <t>MES1CS640130719435</t>
  </si>
  <si>
    <t>MES1CS741330719324</t>
  </si>
  <si>
    <t>MES1CS620030718665</t>
  </si>
  <si>
    <t>MES1CS736130715831</t>
  </si>
  <si>
    <t>MES1CS981530729613</t>
  </si>
  <si>
    <t>MES1CS553230745024</t>
  </si>
  <si>
    <t>MES1CS935230738955</t>
  </si>
  <si>
    <t>MES1CS726930735897</t>
  </si>
  <si>
    <t>MES1CS627730761485</t>
  </si>
  <si>
    <t>MES1CS483030760965</t>
  </si>
  <si>
    <t>MES1CS238430756187</t>
  </si>
  <si>
    <t>MES1CS612730773797</t>
  </si>
  <si>
    <t>MES1CS332030768707</t>
  </si>
  <si>
    <t>VICTOR STORE</t>
  </si>
  <si>
    <t>MES1CS597230789557</t>
  </si>
  <si>
    <t>CV. REPARASI JAYA PERSADA</t>
  </si>
  <si>
    <t>MES1CS017130809116</t>
  </si>
  <si>
    <t>RAJA MANIK</t>
  </si>
  <si>
    <t>MES1CS768230809077</t>
  </si>
  <si>
    <t>MES1CS173630808105</t>
  </si>
  <si>
    <t>MES1CS574630805957</t>
  </si>
  <si>
    <t>AINI INFORMA</t>
  </si>
  <si>
    <t>MES1CS535230805809</t>
  </si>
  <si>
    <t>CHANDRA</t>
  </si>
  <si>
    <t>MES1CS260430830017</t>
  </si>
  <si>
    <t>MES1CS498630828700</t>
  </si>
  <si>
    <t>MES1CS742330826192</t>
  </si>
  <si>
    <t>INFORMA</t>
  </si>
  <si>
    <t>MES1CS273030824508</t>
  </si>
  <si>
    <t>MES1CS828230668821</t>
  </si>
  <si>
    <t>MES1CS818430692426</t>
  </si>
  <si>
    <t>MES1CS777530697039</t>
  </si>
  <si>
    <t>MES1CS911730698065</t>
  </si>
  <si>
    <t>MES1CS861330674843</t>
  </si>
  <si>
    <t>MES1CS034630734611</t>
  </si>
  <si>
    <t>MES1CS30365877</t>
  </si>
  <si>
    <t xml:space="preserve">08 Juni 2026 </t>
  </si>
  <si>
    <t xml:space="preserve">tgl 2 </t>
  </si>
  <si>
    <t>tgl 4</t>
  </si>
  <si>
    <t>tgl 5</t>
  </si>
  <si>
    <t xml:space="preserve">tgl 3 </t>
  </si>
  <si>
    <t xml:space="preserve">Mestika Juni 2026 </t>
  </si>
  <si>
    <t>tgl 8</t>
  </si>
  <si>
    <t>Yang bakal masuk Besok</t>
  </si>
  <si>
    <t>PENDAPATAN JUNI 2026</t>
  </si>
  <si>
    <t xml:space="preserve">Beli lakban </t>
  </si>
  <si>
    <t xml:space="preserve">Lain lain </t>
  </si>
  <si>
    <t xml:space="preserve">Bubble angelina </t>
  </si>
  <si>
    <t>Bubble utari</t>
  </si>
  <si>
    <t xml:space="preserve">babel madeline </t>
  </si>
  <si>
    <t xml:space="preserve">artha bank </t>
  </si>
  <si>
    <t xml:space="preserve">upah kayu </t>
  </si>
  <si>
    <t xml:space="preserve">Fee Ucok </t>
  </si>
  <si>
    <t xml:space="preserve">Packing kyau </t>
  </si>
  <si>
    <t xml:space="preserve">Beli Bubble </t>
  </si>
  <si>
    <t xml:space="preserve">Beli kayu </t>
  </si>
  <si>
    <t xml:space="preserve">ban pickup </t>
  </si>
  <si>
    <t xml:space="preserve">PENDAPATAN / OMSET </t>
  </si>
  <si>
    <t xml:space="preserve">BIAYA /PENGELUARAN </t>
  </si>
  <si>
    <t xml:space="preserve">MAXIM </t>
  </si>
  <si>
    <t xml:space="preserve">Pendapatan Maxim </t>
  </si>
  <si>
    <t xml:space="preserve">LABA Perusahaan Bulan MEI 2026 </t>
  </si>
  <si>
    <t xml:space="preserve">LAPORAN LABA RUGI BULAN MEI 2026 INDAH CARGO MAIMUN DAN KATAMSO </t>
  </si>
  <si>
    <t>tgl 09</t>
  </si>
  <si>
    <t>MES1CS466230860791</t>
  </si>
  <si>
    <t>MES1CS332030859489</t>
  </si>
  <si>
    <t>MES1CS625130856270</t>
  </si>
  <si>
    <t>MES1CS984030850665</t>
  </si>
  <si>
    <t>MES1CS638430849944</t>
  </si>
  <si>
    <t>MES1CS666830875868</t>
  </si>
  <si>
    <t>MES1CS172430874858</t>
  </si>
  <si>
    <t>MES1CS249630873968</t>
  </si>
  <si>
    <t>TK QUEEN ACC</t>
  </si>
  <si>
    <t>MES1CS991630873772</t>
  </si>
  <si>
    <t>TK POLARIS</t>
  </si>
  <si>
    <t>MES1CS591430871386</t>
  </si>
  <si>
    <t>MES1CS206630868123</t>
  </si>
  <si>
    <t>RAFLY</t>
  </si>
  <si>
    <t>MES1CS167230867167</t>
  </si>
  <si>
    <t>IBU ELISA</t>
  </si>
  <si>
    <t>tgl 11</t>
  </si>
  <si>
    <t xml:space="preserve">tgl 12 </t>
  </si>
  <si>
    <t>MES1CS017330889078</t>
  </si>
  <si>
    <t>MES1CS263130885275</t>
  </si>
  <si>
    <t>QUEENTEX</t>
  </si>
  <si>
    <t>MES1CS610330884701</t>
  </si>
  <si>
    <t>MES1CS515330901174</t>
  </si>
  <si>
    <t>MES1CS696030907728</t>
  </si>
  <si>
    <t>MES1CS983430919110</t>
  </si>
  <si>
    <t>tgl15</t>
  </si>
  <si>
    <t>MES1CS713630925335</t>
  </si>
  <si>
    <t>MES1CS477430925321</t>
  </si>
  <si>
    <t>MES1CS339430942910</t>
  </si>
  <si>
    <t>MES1CS130430939666</t>
  </si>
  <si>
    <t>JASTIN</t>
  </si>
  <si>
    <t>MES1CS682430935988</t>
  </si>
  <si>
    <t>MES1CS857930935391</t>
  </si>
  <si>
    <t>MES1CS808530934790</t>
  </si>
  <si>
    <t>MES1CS835930932963</t>
  </si>
  <si>
    <t xml:space="preserve">tgl 17 </t>
  </si>
  <si>
    <t>MES1CS270330959593</t>
  </si>
  <si>
    <t>MES1CS563330959541</t>
  </si>
  <si>
    <t>MES1CS133630958969</t>
  </si>
  <si>
    <t>MES1CS355930955227</t>
  </si>
  <si>
    <t>SINAR BARU</t>
  </si>
  <si>
    <t>MES1CS612130950840</t>
  </si>
  <si>
    <t>MES1CS703030950825</t>
  </si>
  <si>
    <t>tgl18</t>
  </si>
  <si>
    <t>MES1CS655430974562</t>
  </si>
  <si>
    <t>MES1CS338630967813</t>
  </si>
  <si>
    <t>MES1CS718530967341</t>
  </si>
  <si>
    <t>MES1CS309930966261</t>
  </si>
  <si>
    <t>MES1CS413030966043</t>
  </si>
  <si>
    <t>tgl19</t>
  </si>
  <si>
    <t>MES1CS133330987531</t>
  </si>
  <si>
    <t>MES1CS437530985693</t>
  </si>
  <si>
    <t>MES1CS121930985182</t>
  </si>
  <si>
    <t>MES1CS896330982450</t>
  </si>
  <si>
    <t>MES1CS694030980257</t>
  </si>
  <si>
    <t>MES1CS395230979846</t>
  </si>
  <si>
    <t>MES1CS661130978127</t>
  </si>
  <si>
    <t>MES1CS693130799853</t>
  </si>
  <si>
    <t>MES1CS324830826348</t>
  </si>
  <si>
    <t>MES1CS491630826260</t>
  </si>
  <si>
    <t>MES1CS267730893689</t>
  </si>
  <si>
    <t>MES1CS604930887161</t>
  </si>
  <si>
    <t xml:space="preserve">21 Juni 2026 </t>
  </si>
  <si>
    <t xml:space="preserve">BB Katamso </t>
  </si>
  <si>
    <t xml:space="preserve">Minggu </t>
  </si>
  <si>
    <t>BB Maimun</t>
  </si>
  <si>
    <t>MES1CS123131002841</t>
  </si>
  <si>
    <t>MES1CS084830999985</t>
  </si>
  <si>
    <t>MES1CS342130998414</t>
  </si>
  <si>
    <t>MES1CS282130996477</t>
  </si>
  <si>
    <t>MES1CS799131018723</t>
  </si>
  <si>
    <t>EXPRES COM</t>
  </si>
  <si>
    <t>MES1CS110231037222</t>
  </si>
  <si>
    <t>MES1CS596331036820</t>
  </si>
  <si>
    <t>MES1CS501931036750</t>
  </si>
  <si>
    <t>MES1CS182231031111</t>
  </si>
  <si>
    <t>TOKO BAJA DELI</t>
  </si>
  <si>
    <t>MES1CS486231030637</t>
  </si>
  <si>
    <t>MES1CS788431030560</t>
  </si>
  <si>
    <t>UD SENTOSA</t>
  </si>
  <si>
    <t>MES1CS513831028965</t>
  </si>
  <si>
    <t>MES1CS342331051078</t>
  </si>
  <si>
    <t>MES1CS401231049307</t>
  </si>
  <si>
    <t>MES1CS338831044093</t>
  </si>
  <si>
    <t>MES1CS676631066901</t>
  </si>
  <si>
    <t>SMS</t>
  </si>
  <si>
    <t>MES1CS395231063956</t>
  </si>
  <si>
    <t>MES1CS845031063612</t>
  </si>
  <si>
    <t>MES1CS724631058802</t>
  </si>
  <si>
    <t>MES1CS842531057229</t>
  </si>
  <si>
    <t>MES1CS390531088206</t>
  </si>
  <si>
    <t>MES1CS404631113749</t>
  </si>
  <si>
    <t>MES1CS874531112667</t>
  </si>
  <si>
    <t>MES1CS915231106054</t>
  </si>
  <si>
    <t>MES1CS459131130559</t>
  </si>
  <si>
    <t>MES1CS126131130537</t>
  </si>
  <si>
    <t>MES1CS531031130498</t>
  </si>
  <si>
    <t>MES1CS416331145903</t>
  </si>
  <si>
    <t>MES1CS566031145842</t>
  </si>
  <si>
    <t>MES1CS110931136711</t>
  </si>
  <si>
    <t>MES1CS380731159966</t>
  </si>
  <si>
    <t>MES1CS025531159865</t>
  </si>
  <si>
    <t>MES1CS099731153530</t>
  </si>
  <si>
    <t>MES1CS680731153269</t>
  </si>
  <si>
    <t>MES1CS016931174072</t>
  </si>
  <si>
    <t>MES1CS239131173544</t>
  </si>
  <si>
    <t>MES1CS244331169112</t>
  </si>
  <si>
    <t>MES1CS190831168922</t>
  </si>
  <si>
    <t>MES1CS471731180455</t>
  </si>
  <si>
    <t>MES1CS963731194467</t>
  </si>
  <si>
    <t>MES1CS086931184701</t>
  </si>
  <si>
    <t>MES1CS649231213041</t>
  </si>
  <si>
    <t>MES1CS739931212867</t>
  </si>
  <si>
    <t>MES1CS715231206217</t>
  </si>
  <si>
    <t>MES1CS009631201942</t>
  </si>
  <si>
    <t>MES1CS971231201880</t>
  </si>
  <si>
    <t>MES1CS928531200751</t>
  </si>
  <si>
    <t>MES1CS542131231486</t>
  </si>
  <si>
    <t>MES1CS486231226862</t>
  </si>
  <si>
    <t>MES1CS675131242870</t>
  </si>
  <si>
    <t>MES1CS265331241680</t>
  </si>
  <si>
    <t>MES1CS660431238425</t>
  </si>
  <si>
    <t>MES1CS835631261231</t>
  </si>
  <si>
    <t>MES1CS686631261188</t>
  </si>
  <si>
    <t>MES1CS978731261137</t>
  </si>
  <si>
    <t>MES1CS639931260710</t>
  </si>
  <si>
    <t>MES1CS817331255854</t>
  </si>
  <si>
    <t>SATRIA YUDHISTIRA</t>
  </si>
  <si>
    <t>MES1CS634231273917</t>
  </si>
  <si>
    <t>TK BAHAGIA</t>
  </si>
  <si>
    <t>MES1CS476231292456</t>
  </si>
  <si>
    <t>MES1CS116631292340</t>
  </si>
  <si>
    <t>MES1CS689631292261</t>
  </si>
  <si>
    <t>MES1CS751931292198</t>
  </si>
  <si>
    <t>MES1CS348931292066</t>
  </si>
  <si>
    <t>MES1CS382931285951</t>
  </si>
  <si>
    <t>MES1CS617431285072</t>
  </si>
  <si>
    <t>MES1CS493231309577</t>
  </si>
  <si>
    <t>RISPIKA DEWI INFOMA DELIPARK</t>
  </si>
  <si>
    <t>MES1CS353931309187</t>
  </si>
  <si>
    <t>MES1CS687331305720</t>
  </si>
  <si>
    <t>MES1CS697431302795</t>
  </si>
  <si>
    <t>MES1CS890231302578</t>
  </si>
  <si>
    <t>MES1CS370431297316</t>
  </si>
  <si>
    <t>INFORMA / EFRON BATUBARA</t>
  </si>
  <si>
    <t>MES1CS541931323997</t>
  </si>
  <si>
    <t>MES1CS228631323882</t>
  </si>
  <si>
    <t>MES1CS982231323796</t>
  </si>
  <si>
    <t>MES1CS096531314917</t>
  </si>
  <si>
    <t>MES1CS099731312626</t>
  </si>
  <si>
    <t>MES1CS895331338658</t>
  </si>
  <si>
    <t>MES1CS819131338171</t>
  </si>
  <si>
    <t>MES1CS406231335214</t>
  </si>
  <si>
    <t>MES1CS091631332332</t>
  </si>
  <si>
    <t>MES1CS471631329330</t>
  </si>
  <si>
    <t>UD SETIA ABADI</t>
  </si>
  <si>
    <t>MES1CS683531327552</t>
  </si>
  <si>
    <t>MES1CS195131352292</t>
  </si>
  <si>
    <t>MES1CS583031351986</t>
  </si>
  <si>
    <t>MES1CS686231351948</t>
  </si>
  <si>
    <t>MES1CS768931351908</t>
  </si>
  <si>
    <t>MES1CS041731347306</t>
  </si>
  <si>
    <t>MES1CS860631345996</t>
  </si>
  <si>
    <t>MES1CS616331341974</t>
  </si>
  <si>
    <t>AMANDA</t>
  </si>
  <si>
    <t>MES1CS929631366131</t>
  </si>
  <si>
    <t>MES1CS048931365964</t>
  </si>
  <si>
    <t>MES1CS834531364867</t>
  </si>
  <si>
    <t>INDO ACC</t>
  </si>
  <si>
    <t>MES1CS817231358835</t>
  </si>
  <si>
    <t>MES1CS505331382702</t>
  </si>
  <si>
    <t>MES1CS354031382369</t>
  </si>
  <si>
    <t>MES1CS791531381145</t>
  </si>
  <si>
    <t>MES1CS845131375244</t>
  </si>
  <si>
    <t>MES1CS994731373678</t>
  </si>
  <si>
    <t>MES1CS816531373068</t>
  </si>
  <si>
    <t>MES1CS578531399529</t>
  </si>
  <si>
    <t>MES1CS329031399434</t>
  </si>
  <si>
    <t>INDAH WULANDAR</t>
  </si>
  <si>
    <t>MES1CS578531397569</t>
  </si>
  <si>
    <t>SAMUDRA CETAK</t>
  </si>
  <si>
    <t>MES1CS070731395684</t>
  </si>
  <si>
    <t>MES1CS660031390205</t>
  </si>
  <si>
    <t>MES1CS520230940663</t>
  </si>
  <si>
    <t>MES1CS497030933937</t>
  </si>
  <si>
    <t>MES1CS103430900237</t>
  </si>
  <si>
    <t>MES1CS364230972843</t>
  </si>
  <si>
    <t>MES1CS345531041411</t>
  </si>
  <si>
    <t>MES1CS622231062438</t>
  </si>
  <si>
    <t>MES1CS654631077334</t>
  </si>
  <si>
    <t>MES1CS373031047898</t>
  </si>
  <si>
    <t>MES1CS234131051406</t>
  </si>
  <si>
    <t>MES1CS283731152752</t>
  </si>
  <si>
    <t>MES1CS599631128649</t>
  </si>
  <si>
    <t>MES1CS938031150334</t>
  </si>
  <si>
    <t>MES1CS112031152779</t>
  </si>
  <si>
    <t>MES1CS199131073392</t>
  </si>
  <si>
    <t>MES1CS313931152740</t>
  </si>
  <si>
    <t>MES1CS694331183619</t>
  </si>
  <si>
    <t>MES1CS840031152835</t>
  </si>
  <si>
    <t>MES1CS003831282395</t>
  </si>
  <si>
    <t>MES1CS120831298312</t>
  </si>
  <si>
    <t>MES1CS158731352340</t>
  </si>
  <si>
    <t>MES1CS259931352200</t>
  </si>
  <si>
    <t>MES1CS800931411789</t>
  </si>
  <si>
    <t>MES1CS189631407127</t>
  </si>
  <si>
    <t>CV MUJUR MAS</t>
  </si>
  <si>
    <t>MES1CS498931425683</t>
  </si>
  <si>
    <t>TATA COLLECTION</t>
  </si>
  <si>
    <t>MES1CS038931425612</t>
  </si>
  <si>
    <t>MES1CS003531417971</t>
  </si>
  <si>
    <t>MES1CS895131417717</t>
  </si>
  <si>
    <t>MES1CS193631442561</t>
  </si>
  <si>
    <t>MES1CS970731442017</t>
  </si>
  <si>
    <t>MES1CS875831441649</t>
  </si>
  <si>
    <t>MES1CS851531438657</t>
  </si>
  <si>
    <t>MES1CS555431456246</t>
  </si>
  <si>
    <t>MES1CS356231456045</t>
  </si>
  <si>
    <t>MES1CS697831452935</t>
  </si>
  <si>
    <t>MES1CS020431451207</t>
  </si>
  <si>
    <t>MES1CS919031446055</t>
  </si>
  <si>
    <t>MES1CS351231474828</t>
  </si>
  <si>
    <t>MES1CS554531474131</t>
  </si>
  <si>
    <t>MES1CS014631467001</t>
  </si>
  <si>
    <t>BINTANG SAUDARA</t>
  </si>
  <si>
    <t>MES1CS477531466354</t>
  </si>
  <si>
    <t>MES1CS361831466142</t>
  </si>
  <si>
    <t>MES1CS948931507484</t>
  </si>
  <si>
    <t>NENI TRIANA</t>
  </si>
  <si>
    <t>MES1CS589031505263</t>
  </si>
  <si>
    <t>MES1CS378231521445</t>
  </si>
  <si>
    <t>MES1CS280231520728</t>
  </si>
  <si>
    <t>MES1CS221731520603</t>
  </si>
  <si>
    <t>MES1CS673831520381</t>
  </si>
  <si>
    <t>MES1CS838431519574</t>
  </si>
  <si>
    <t>MES1CS784431519483</t>
  </si>
  <si>
    <t>MES1CS990931519381</t>
  </si>
  <si>
    <t>MES1CS222031519225</t>
  </si>
  <si>
    <t>MES1CS940231518755</t>
  </si>
  <si>
    <t>MES1CS878731515015</t>
  </si>
  <si>
    <t>MES1CS997431535901</t>
  </si>
  <si>
    <t>MES1CS917231531693</t>
  </si>
  <si>
    <t>KEMASAN MEDAN</t>
  </si>
  <si>
    <t>MES1CS815831531136</t>
  </si>
  <si>
    <t>MES1CS139131530895</t>
  </si>
  <si>
    <t>LAU LAU LUXURY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</si>
</sst>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5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12529"/>
      <name val="Calibri"/>
      <family val="2"/>
      <scheme val="minor"/>
    </font>
    <font>
      <sz val="11"/>
      <color rgb="FF333333"/>
      <name val="Calibri"/>
      <family val="2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rgb="FF333333"/>
      <name val="Arial"/>
      <family val="2"/>
    </font>
    <font>
      <b/>
      <sz val="11"/>
      <color theme="4" tint="0.39997558519241921"/>
      <name val="Calibri"/>
      <family val="2"/>
      <charset val="1"/>
      <scheme val="minor"/>
    </font>
    <font>
      <b/>
      <sz val="24"/>
      <name val="Aharoni"/>
      <charset val="177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33333"/>
      <name val="Calibri"/>
      <family val="2"/>
      <scheme val="minor"/>
    </font>
    <font>
      <b/>
      <sz val="14"/>
      <color theme="4" tint="0.3999755851924192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333333"/>
      <name val="Arial"/>
      <family val="2"/>
    </font>
    <font>
      <sz val="11"/>
      <color rgb="FF212529"/>
      <name val="Arial"/>
      <family val="2"/>
    </font>
    <font>
      <b/>
      <sz val="11"/>
      <color rgb="FF212529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/>
      <diagonal/>
    </border>
    <border>
      <left style="dotted">
        <color indexed="8"/>
      </left>
      <right style="dotted">
        <color indexed="8"/>
      </right>
      <top style="dotted">
        <color indexed="8"/>
      </top>
      <bottom style="dotted">
        <color indexed="8"/>
      </bottom>
      <diagonal/>
    </border>
    <border>
      <left style="dotted">
        <color indexed="8"/>
      </left>
      <right style="dotted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32" fillId="0" borderId="0" applyFont="0" applyFill="0" applyBorder="0" applyAlignment="0" applyProtection="0"/>
    <xf numFmtId="9" fontId="32" fillId="0" borderId="0" applyFont="0" applyFill="0" applyBorder="0" applyAlignment="0" applyProtection="0"/>
  </cellStyleXfs>
  <cellXfs count="1225">
    <xf numFmtId="0" fontId="0" fillId="0" borderId="0" xfId="0"/>
    <xf numFmtId="0" fontId="0" fillId="0" borderId="3" xfId="0" applyBorder="1" applyAlignment="1">
      <alignment horizontal="center"/>
    </xf>
    <xf numFmtId="164" fontId="0" fillId="2" borderId="3" xfId="1" applyFont="1" applyFill="1" applyBorder="1"/>
    <xf numFmtId="164" fontId="0" fillId="0" borderId="3" xfId="1" applyFont="1" applyBorder="1"/>
    <xf numFmtId="0" fontId="0" fillId="0" borderId="3" xfId="0" applyBorder="1"/>
    <xf numFmtId="164" fontId="0" fillId="0" borderId="0" xfId="0" applyNumberFormat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35" fillId="3" borderId="3" xfId="0" applyFont="1" applyFill="1" applyBorder="1" applyAlignment="1">
      <alignment horizontal="center"/>
    </xf>
    <xf numFmtId="0" fontId="35" fillId="3" borderId="3" xfId="0" applyFont="1" applyFill="1" applyBorder="1"/>
    <xf numFmtId="0" fontId="37" fillId="3" borderId="3" xfId="0" applyFont="1" applyFill="1" applyBorder="1" applyAlignment="1">
      <alignment horizontal="center"/>
    </xf>
    <xf numFmtId="164" fontId="34" fillId="0" borderId="4" xfId="0" applyNumberFormat="1" applyFont="1" applyBorder="1"/>
    <xf numFmtId="14" fontId="0" fillId="0" borderId="3" xfId="0" applyNumberFormat="1" applyBorder="1"/>
    <xf numFmtId="164" fontId="0" fillId="0" borderId="3" xfId="0" applyNumberFormat="1" applyBorder="1"/>
    <xf numFmtId="164" fontId="35" fillId="0" borderId="3" xfId="1" applyFont="1" applyFill="1" applyBorder="1"/>
    <xf numFmtId="164" fontId="34" fillId="5" borderId="3" xfId="0" applyNumberFormat="1" applyFont="1" applyFill="1" applyBorder="1"/>
    <xf numFmtId="164" fontId="34" fillId="4" borderId="3" xfId="0" applyNumberFormat="1" applyFont="1" applyFill="1" applyBorder="1"/>
    <xf numFmtId="164" fontId="0" fillId="0" borderId="0" xfId="1" applyFont="1"/>
    <xf numFmtId="0" fontId="0" fillId="0" borderId="5" xfId="0" applyBorder="1"/>
    <xf numFmtId="3" fontId="37" fillId="2" borderId="3" xfId="0" applyNumberFormat="1" applyFont="1" applyFill="1" applyBorder="1"/>
    <xf numFmtId="0" fontId="0" fillId="0" borderId="6" xfId="0" applyBorder="1"/>
    <xf numFmtId="0" fontId="0" fillId="0" borderId="3" xfId="0" applyBorder="1" applyAlignment="1">
      <alignment horizontal="left"/>
    </xf>
    <xf numFmtId="0" fontId="39" fillId="2" borderId="3" xfId="0" applyFont="1" applyFill="1" applyBorder="1"/>
    <xf numFmtId="0" fontId="40" fillId="6" borderId="3" xfId="0" applyFont="1" applyFill="1" applyBorder="1" applyAlignment="1">
      <alignment horizontal="left"/>
    </xf>
    <xf numFmtId="0" fontId="41" fillId="6" borderId="3" xfId="0" applyFont="1" applyFill="1" applyBorder="1"/>
    <xf numFmtId="0" fontId="40" fillId="6" borderId="3" xfId="0" applyFont="1" applyFill="1" applyBorder="1"/>
    <xf numFmtId="0" fontId="38" fillId="6" borderId="3" xfId="0" applyFont="1" applyFill="1" applyBorder="1"/>
    <xf numFmtId="0" fontId="0" fillId="5" borderId="3" xfId="0" applyFill="1" applyBorder="1" applyAlignment="1">
      <alignment horizontal="center"/>
    </xf>
    <xf numFmtId="14" fontId="0" fillId="5" borderId="3" xfId="0" applyNumberFormat="1" applyFill="1" applyBorder="1" applyAlignment="1">
      <alignment horizontal="center"/>
    </xf>
    <xf numFmtId="164" fontId="0" fillId="5" borderId="3" xfId="1" applyFont="1" applyFill="1" applyBorder="1"/>
    <xf numFmtId="3" fontId="37" fillId="5" borderId="3" xfId="0" applyNumberFormat="1" applyFont="1" applyFill="1" applyBorder="1"/>
    <xf numFmtId="164" fontId="3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3" xfId="1" applyFont="1" applyFill="1" applyBorder="1"/>
    <xf numFmtId="164" fontId="35" fillId="2" borderId="3" xfId="1" applyFont="1" applyFill="1" applyBorder="1"/>
    <xf numFmtId="0" fontId="39" fillId="0" borderId="3" xfId="0" applyFont="1" applyBorder="1"/>
    <xf numFmtId="0" fontId="37" fillId="0" borderId="3" xfId="0" applyFont="1" applyBorder="1"/>
    <xf numFmtId="0" fontId="0" fillId="5" borderId="3" xfId="0" applyFill="1" applyBorder="1"/>
    <xf numFmtId="0" fontId="0" fillId="8" borderId="3" xfId="0" applyFill="1" applyBorder="1"/>
    <xf numFmtId="0" fontId="0" fillId="8" borderId="3" xfId="0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 vertical="top" wrapText="1"/>
    </xf>
    <xf numFmtId="0" fontId="37" fillId="8" borderId="3" xfId="0" applyFont="1" applyFill="1" applyBorder="1" applyAlignment="1">
      <alignment horizontal="center"/>
    </xf>
    <xf numFmtId="14" fontId="35" fillId="8" borderId="3" xfId="0" applyNumberFormat="1" applyFont="1" applyFill="1" applyBorder="1" applyAlignment="1">
      <alignment horizontal="center"/>
    </xf>
    <xf numFmtId="0" fontId="36" fillId="8" borderId="3" xfId="0" applyFont="1" applyFill="1" applyBorder="1" applyAlignment="1">
      <alignment horizontal="center"/>
    </xf>
    <xf numFmtId="3" fontId="35" fillId="8" borderId="3" xfId="0" applyNumberFormat="1" applyFont="1" applyFill="1" applyBorder="1" applyAlignment="1">
      <alignment horizontal="center"/>
    </xf>
    <xf numFmtId="164" fontId="0" fillId="8" borderId="0" xfId="1" applyFont="1" applyFill="1"/>
    <xf numFmtId="0" fontId="36" fillId="8" borderId="3" xfId="0" applyFont="1" applyFill="1" applyBorder="1" applyAlignment="1">
      <alignment horizontal="center" vertical="top" wrapText="1"/>
    </xf>
    <xf numFmtId="164" fontId="0" fillId="8" borderId="7" xfId="1" applyFont="1" applyFill="1" applyBorder="1"/>
    <xf numFmtId="14" fontId="0" fillId="8" borderId="3" xfId="0" applyNumberFormat="1" applyFill="1" applyBorder="1" applyAlignment="1">
      <alignment horizontal="center"/>
    </xf>
    <xf numFmtId="164" fontId="0" fillId="8" borderId="3" xfId="0" applyNumberFormat="1" applyFill="1" applyBorder="1"/>
    <xf numFmtId="0" fontId="35" fillId="8" borderId="3" xfId="0" applyFont="1" applyFill="1" applyBorder="1"/>
    <xf numFmtId="3" fontId="35" fillId="8" borderId="3" xfId="0" applyNumberFormat="1" applyFont="1" applyFill="1" applyBorder="1"/>
    <xf numFmtId="0" fontId="43" fillId="8" borderId="3" xfId="0" applyFont="1" applyFill="1" applyBorder="1" applyAlignment="1">
      <alignment horizontal="center"/>
    </xf>
    <xf numFmtId="0" fontId="43" fillId="8" borderId="3" xfId="0" applyFont="1" applyFill="1" applyBorder="1" applyAlignment="1">
      <alignment horizontal="center" vertical="top" wrapText="1"/>
    </xf>
    <xf numFmtId="3" fontId="43" fillId="8" borderId="3" xfId="0" applyNumberFormat="1" applyFont="1" applyFill="1" applyBorder="1"/>
    <xf numFmtId="164" fontId="43" fillId="8" borderId="0" xfId="1" applyFont="1" applyFill="1"/>
    <xf numFmtId="164" fontId="34" fillId="8" borderId="3" xfId="0" applyNumberFormat="1" applyFont="1" applyFill="1" applyBorder="1" applyAlignment="1">
      <alignment horizontal="center"/>
    </xf>
    <xf numFmtId="164" fontId="35" fillId="8" borderId="3" xfId="0" applyNumberFormat="1" applyFont="1" applyFill="1" applyBorder="1"/>
    <xf numFmtId="14" fontId="35" fillId="3" borderId="3" xfId="0" applyNumberFormat="1" applyFont="1" applyFill="1" applyBorder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14" fontId="0" fillId="3" borderId="6" xfId="0" applyNumberFormat="1" applyFill="1" applyBorder="1"/>
    <xf numFmtId="0" fontId="36" fillId="3" borderId="3" xfId="0" applyFont="1" applyFill="1" applyBorder="1" applyAlignment="1">
      <alignment horizontal="center"/>
    </xf>
    <xf numFmtId="0" fontId="37" fillId="3" borderId="3" xfId="0" applyFont="1" applyFill="1" applyBorder="1" applyAlignment="1">
      <alignment horizontal="center" vertical="top" wrapText="1"/>
    </xf>
    <xf numFmtId="164" fontId="0" fillId="3" borderId="0" xfId="1" applyFont="1" applyFill="1"/>
    <xf numFmtId="0" fontId="36" fillId="3" borderId="3" xfId="0" applyFont="1" applyFill="1" applyBorder="1" applyAlignment="1">
      <alignment horizontal="center" vertical="top" wrapText="1"/>
    </xf>
    <xf numFmtId="14" fontId="35" fillId="9" borderId="3" xfId="0" applyNumberFormat="1" applyFont="1" applyFill="1" applyBorder="1" applyAlignment="1">
      <alignment horizontal="center"/>
    </xf>
    <xf numFmtId="0" fontId="36" fillId="9" borderId="3" xfId="0" applyFont="1" applyFill="1" applyBorder="1" applyAlignment="1">
      <alignment horizontal="center"/>
    </xf>
    <xf numFmtId="0" fontId="35" fillId="9" borderId="3" xfId="0" applyFont="1" applyFill="1" applyBorder="1" applyAlignment="1">
      <alignment horizontal="center"/>
    </xf>
    <xf numFmtId="0" fontId="0" fillId="9" borderId="3" xfId="0" applyFill="1" applyBorder="1"/>
    <xf numFmtId="0" fontId="0" fillId="9" borderId="3" xfId="0" applyFill="1" applyBorder="1" applyAlignment="1">
      <alignment horizontal="center"/>
    </xf>
    <xf numFmtId="0" fontId="35" fillId="9" borderId="3" xfId="0" applyFont="1" applyFill="1" applyBorder="1"/>
    <xf numFmtId="0" fontId="37" fillId="9" borderId="3" xfId="0" applyFont="1" applyFill="1" applyBorder="1"/>
    <xf numFmtId="0" fontId="36" fillId="9" borderId="3" xfId="0" applyFont="1" applyFill="1" applyBorder="1" applyAlignment="1">
      <alignment horizontal="center" vertical="top" wrapText="1"/>
    </xf>
    <xf numFmtId="164" fontId="37" fillId="0" borderId="3" xfId="1" applyFont="1" applyBorder="1"/>
    <xf numFmtId="14" fontId="35" fillId="9" borderId="3" xfId="0" applyNumberFormat="1" applyFont="1" applyFill="1" applyBorder="1"/>
    <xf numFmtId="0" fontId="36" fillId="9" borderId="3" xfId="0" applyFont="1" applyFill="1" applyBorder="1"/>
    <xf numFmtId="164" fontId="36" fillId="9" borderId="3" xfId="1" applyFont="1" applyFill="1" applyBorder="1"/>
    <xf numFmtId="14" fontId="0" fillId="9" borderId="3" xfId="0" applyNumberFormat="1" applyFill="1" applyBorder="1"/>
    <xf numFmtId="0" fontId="37" fillId="9" borderId="3" xfId="0" applyFont="1" applyFill="1" applyBorder="1" applyAlignment="1">
      <alignment horizontal="center" vertical="top" wrapText="1"/>
    </xf>
    <xf numFmtId="0" fontId="37" fillId="9" borderId="3" xfId="0" applyFont="1" applyFill="1" applyBorder="1" applyAlignment="1">
      <alignment horizontal="center"/>
    </xf>
    <xf numFmtId="14" fontId="0" fillId="0" borderId="0" xfId="0" applyNumberFormat="1"/>
    <xf numFmtId="0" fontId="0" fillId="10" borderId="9" xfId="0" applyFill="1" applyBorder="1"/>
    <xf numFmtId="0" fontId="34" fillId="10" borderId="9" xfId="0" applyFont="1" applyFill="1" applyBorder="1" applyAlignment="1">
      <alignment horizontal="center"/>
    </xf>
    <xf numFmtId="164" fontId="34" fillId="10" borderId="9" xfId="1" applyFont="1" applyFill="1" applyBorder="1" applyAlignment="1">
      <alignment horizontal="center"/>
    </xf>
    <xf numFmtId="164" fontId="34" fillId="0" borderId="4" xfId="1" applyFont="1" applyFill="1" applyBorder="1" applyAlignment="1">
      <alignment horizontal="center"/>
    </xf>
    <xf numFmtId="164" fontId="0" fillId="12" borderId="3" xfId="0" applyNumberFormat="1" applyFill="1" applyBorder="1"/>
    <xf numFmtId="14" fontId="0" fillId="0" borderId="8" xfId="0" applyNumberFormat="1" applyBorder="1"/>
    <xf numFmtId="164" fontId="0" fillId="0" borderId="8" xfId="1" applyFont="1" applyBorder="1"/>
    <xf numFmtId="164" fontId="0" fillId="12" borderId="8" xfId="0" applyNumberFormat="1" applyFill="1" applyBorder="1"/>
    <xf numFmtId="0" fontId="34" fillId="13" borderId="4" xfId="0" applyFont="1" applyFill="1" applyBorder="1" applyAlignment="1">
      <alignment horizontal="center"/>
    </xf>
    <xf numFmtId="0" fontId="34" fillId="13" borderId="10" xfId="0" applyFont="1" applyFill="1" applyBorder="1" applyAlignment="1">
      <alignment horizontal="center"/>
    </xf>
    <xf numFmtId="0" fontId="34" fillId="13" borderId="11" xfId="0" applyFont="1" applyFill="1" applyBorder="1" applyAlignment="1">
      <alignment horizontal="center"/>
    </xf>
    <xf numFmtId="0" fontId="34" fillId="13" borderId="7" xfId="0" applyFont="1" applyFill="1" applyBorder="1" applyAlignment="1">
      <alignment horizontal="center"/>
    </xf>
    <xf numFmtId="0" fontId="34" fillId="13" borderId="12" xfId="0" applyFont="1" applyFill="1" applyBorder="1" applyAlignment="1">
      <alignment horizontal="center"/>
    </xf>
    <xf numFmtId="14" fontId="0" fillId="0" borderId="13" xfId="0" applyNumberFormat="1" applyBorder="1"/>
    <xf numFmtId="0" fontId="34" fillId="13" borderId="2" xfId="0" applyFont="1" applyFill="1" applyBorder="1" applyAlignment="1">
      <alignment horizontal="center"/>
    </xf>
    <xf numFmtId="0" fontId="34" fillId="13" borderId="14" xfId="0" applyFont="1" applyFill="1" applyBorder="1" applyAlignment="1">
      <alignment horizontal="center"/>
    </xf>
    <xf numFmtId="0" fontId="0" fillId="4" borderId="15" xfId="0" applyFill="1" applyBorder="1"/>
    <xf numFmtId="0" fontId="0" fillId="4" borderId="16" xfId="0" applyFill="1" applyBorder="1"/>
    <xf numFmtId="0" fontId="34" fillId="13" borderId="1" xfId="0" applyFont="1" applyFill="1" applyBorder="1" applyAlignment="1">
      <alignment horizontal="center"/>
    </xf>
    <xf numFmtId="0" fontId="34" fillId="3" borderId="10" xfId="0" applyFont="1" applyFill="1" applyBorder="1"/>
    <xf numFmtId="0" fontId="0" fillId="3" borderId="11" xfId="0" applyFill="1" applyBorder="1"/>
    <xf numFmtId="0" fontId="0" fillId="3" borderId="7" xfId="0" applyFill="1" applyBorder="1"/>
    <xf numFmtId="0" fontId="34" fillId="13" borderId="17" xfId="0" applyFont="1" applyFill="1" applyBorder="1" applyAlignment="1">
      <alignment horizontal="center"/>
    </xf>
    <xf numFmtId="0" fontId="34" fillId="11" borderId="10" xfId="0" applyFont="1" applyFill="1" applyBorder="1"/>
    <xf numFmtId="0" fontId="34" fillId="11" borderId="11" xfId="0" applyFont="1" applyFill="1" applyBorder="1"/>
    <xf numFmtId="0" fontId="34" fillId="11" borderId="7" xfId="0" applyFont="1" applyFill="1" applyBorder="1"/>
    <xf numFmtId="164" fontId="34" fillId="4" borderId="15" xfId="0" applyNumberFormat="1" applyFont="1" applyFill="1" applyBorder="1"/>
    <xf numFmtId="0" fontId="0" fillId="0" borderId="1" xfId="0" applyBorder="1"/>
    <xf numFmtId="14" fontId="0" fillId="0" borderId="4" xfId="0" applyNumberFormat="1" applyBorder="1"/>
    <xf numFmtId="164" fontId="0" fillId="0" borderId="0" xfId="1" applyFont="1" applyFill="1"/>
    <xf numFmtId="164" fontId="0" fillId="0" borderId="4" xfId="1" applyFont="1" applyBorder="1"/>
    <xf numFmtId="164" fontId="0" fillId="12" borderId="3" xfId="1" applyFont="1" applyFill="1" applyBorder="1"/>
    <xf numFmtId="14" fontId="35" fillId="14" borderId="3" xfId="0" applyNumberFormat="1" applyFont="1" applyFill="1" applyBorder="1" applyAlignment="1">
      <alignment horizontal="center"/>
    </xf>
    <xf numFmtId="0" fontId="37" fillId="14" borderId="3" xfId="0" applyFont="1" applyFill="1" applyBorder="1" applyAlignment="1">
      <alignment horizontal="center"/>
    </xf>
    <xf numFmtId="0" fontId="35" fillId="14" borderId="3" xfId="0" applyFont="1" applyFill="1" applyBorder="1" applyAlignment="1">
      <alignment horizontal="center"/>
    </xf>
    <xf numFmtId="0" fontId="0" fillId="14" borderId="3" xfId="0" applyFill="1" applyBorder="1"/>
    <xf numFmtId="0" fontId="0" fillId="14" borderId="3" xfId="0" applyFill="1" applyBorder="1" applyAlignment="1">
      <alignment horizontal="center"/>
    </xf>
    <xf numFmtId="14" fontId="35" fillId="14" borderId="3" xfId="0" applyNumberFormat="1" applyFont="1" applyFill="1" applyBorder="1"/>
    <xf numFmtId="0" fontId="37" fillId="14" borderId="3" xfId="0" applyFont="1" applyFill="1" applyBorder="1" applyAlignment="1">
      <alignment horizontal="center" vertical="top" wrapText="1"/>
    </xf>
    <xf numFmtId="0" fontId="35" fillId="14" borderId="3" xfId="0" applyFont="1" applyFill="1" applyBorder="1"/>
    <xf numFmtId="0" fontId="36" fillId="14" borderId="3" xfId="0" applyFont="1" applyFill="1" applyBorder="1" applyAlignment="1">
      <alignment horizontal="center"/>
    </xf>
    <xf numFmtId="0" fontId="36" fillId="14" borderId="3" xfId="0" applyFont="1" applyFill="1" applyBorder="1" applyAlignment="1">
      <alignment horizontal="center" vertical="top" wrapText="1"/>
    </xf>
    <xf numFmtId="3" fontId="0" fillId="14" borderId="3" xfId="0" applyNumberFormat="1" applyFill="1" applyBorder="1"/>
    <xf numFmtId="164" fontId="31" fillId="0" borderId="3" xfId="1" applyFont="1" applyFill="1" applyBorder="1"/>
    <xf numFmtId="164" fontId="44" fillId="0" borderId="3" xfId="1" applyFont="1" applyBorder="1"/>
    <xf numFmtId="0" fontId="0" fillId="0" borderId="0" xfId="0" applyAlignment="1">
      <alignment horizontal="right"/>
    </xf>
    <xf numFmtId="0" fontId="34" fillId="10" borderId="3" xfId="0" applyFont="1" applyFill="1" applyBorder="1" applyAlignment="1">
      <alignment horizontal="right"/>
    </xf>
    <xf numFmtId="164" fontId="34" fillId="0" borderId="4" xfId="0" applyNumberFormat="1" applyFont="1" applyBorder="1" applyAlignment="1">
      <alignment horizontal="right"/>
    </xf>
    <xf numFmtId="0" fontId="34" fillId="9" borderId="3" xfId="0" applyFont="1" applyFill="1" applyBorder="1"/>
    <xf numFmtId="0" fontId="0" fillId="0" borderId="8" xfId="0" applyBorder="1"/>
    <xf numFmtId="164" fontId="0" fillId="0" borderId="7" xfId="1" applyFont="1" applyBorder="1"/>
    <xf numFmtId="0" fontId="0" fillId="0" borderId="9" xfId="0" applyBorder="1"/>
    <xf numFmtId="14" fontId="0" fillId="0" borderId="22" xfId="0" applyNumberFormat="1" applyBorder="1"/>
    <xf numFmtId="0" fontId="0" fillId="0" borderId="23" xfId="0" applyBorder="1"/>
    <xf numFmtId="164" fontId="0" fillId="0" borderId="0" xfId="1" quotePrefix="1" applyFont="1"/>
    <xf numFmtId="0" fontId="29" fillId="0" borderId="3" xfId="0" applyFont="1" applyBorder="1"/>
    <xf numFmtId="164" fontId="37" fillId="0" borderId="0" xfId="1" applyFont="1"/>
    <xf numFmtId="0" fontId="29" fillId="0" borderId="0" xfId="0" applyFont="1"/>
    <xf numFmtId="0" fontId="37" fillId="0" borderId="0" xfId="0" applyFont="1"/>
    <xf numFmtId="0" fontId="37" fillId="7" borderId="24" xfId="0" applyFont="1" applyFill="1" applyBorder="1" applyAlignment="1">
      <alignment horizontal="center" vertical="top" wrapText="1"/>
    </xf>
    <xf numFmtId="0" fontId="36" fillId="0" borderId="0" xfId="0" applyFont="1"/>
    <xf numFmtId="164" fontId="36" fillId="0" borderId="0" xfId="1" applyFont="1"/>
    <xf numFmtId="164" fontId="0" fillId="9" borderId="0" xfId="1" quotePrefix="1" applyFont="1" applyFill="1"/>
    <xf numFmtId="0" fontId="0" fillId="9" borderId="6" xfId="0" applyFill="1" applyBorder="1"/>
    <xf numFmtId="164" fontId="37" fillId="9" borderId="3" xfId="1" applyFont="1" applyFill="1" applyBorder="1"/>
    <xf numFmtId="164" fontId="0" fillId="0" borderId="5" xfId="1" applyFont="1" applyBorder="1"/>
    <xf numFmtId="0" fontId="0" fillId="0" borderId="4" xfId="0" applyBorder="1"/>
    <xf numFmtId="0" fontId="30" fillId="9" borderId="3" xfId="0" applyFont="1" applyFill="1" applyBorder="1"/>
    <xf numFmtId="164" fontId="0" fillId="9" borderId="0" xfId="1" applyFont="1" applyFill="1"/>
    <xf numFmtId="0" fontId="30" fillId="9" borderId="3" xfId="0" applyFont="1" applyFill="1" applyBorder="1" applyAlignment="1">
      <alignment horizontal="center"/>
    </xf>
    <xf numFmtId="0" fontId="36" fillId="9" borderId="9" xfId="0" applyFont="1" applyFill="1" applyBorder="1" applyAlignment="1">
      <alignment horizontal="center" vertical="top" wrapText="1"/>
    </xf>
    <xf numFmtId="0" fontId="30" fillId="9" borderId="9" xfId="0" applyFont="1" applyFill="1" applyBorder="1"/>
    <xf numFmtId="164" fontId="36" fillId="9" borderId="9" xfId="1" applyFont="1" applyFill="1" applyBorder="1"/>
    <xf numFmtId="0" fontId="0" fillId="9" borderId="9" xfId="0" applyFill="1" applyBorder="1"/>
    <xf numFmtId="14" fontId="0" fillId="9" borderId="6" xfId="0" applyNumberFormat="1" applyFill="1" applyBorder="1"/>
    <xf numFmtId="164" fontId="37" fillId="0" borderId="3" xfId="1" applyFont="1" applyFill="1" applyBorder="1"/>
    <xf numFmtId="164" fontId="43" fillId="0" borderId="3" xfId="1" applyFont="1" applyFill="1" applyBorder="1"/>
    <xf numFmtId="164" fontId="43" fillId="0" borderId="3" xfId="0" applyNumberFormat="1" applyFont="1" applyBorder="1"/>
    <xf numFmtId="0" fontId="43" fillId="0" borderId="3" xfId="0" applyFont="1" applyBorder="1"/>
    <xf numFmtId="164" fontId="0" fillId="0" borderId="0" xfId="1" applyFont="1" applyFill="1" applyBorder="1"/>
    <xf numFmtId="14" fontId="0" fillId="0" borderId="10" xfId="0" applyNumberFormat="1" applyBorder="1"/>
    <xf numFmtId="164" fontId="43" fillId="0" borderId="3" xfId="1" applyFont="1" applyBorder="1"/>
    <xf numFmtId="0" fontId="0" fillId="3" borderId="6" xfId="0" applyFill="1" applyBorder="1"/>
    <xf numFmtId="0" fontId="37" fillId="3" borderId="9" xfId="0" applyFont="1" applyFill="1" applyBorder="1" applyAlignment="1">
      <alignment horizontal="center" vertical="top" wrapText="1"/>
    </xf>
    <xf numFmtId="0" fontId="30" fillId="3" borderId="9" xfId="0" applyFont="1" applyFill="1" applyBorder="1" applyAlignment="1">
      <alignment horizontal="center"/>
    </xf>
    <xf numFmtId="0" fontId="0" fillId="3" borderId="9" xfId="0" applyFill="1" applyBorder="1"/>
    <xf numFmtId="0" fontId="0" fillId="3" borderId="20" xfId="0" applyFill="1" applyBorder="1"/>
    <xf numFmtId="0" fontId="30" fillId="3" borderId="3" xfId="0" applyFont="1" applyFill="1" applyBorder="1" applyAlignment="1">
      <alignment horizontal="center"/>
    </xf>
    <xf numFmtId="164" fontId="37" fillId="3" borderId="3" xfId="1" applyFont="1" applyFill="1" applyBorder="1"/>
    <xf numFmtId="164" fontId="36" fillId="3" borderId="3" xfId="1" applyFont="1" applyFill="1" applyBorder="1"/>
    <xf numFmtId="0" fontId="30" fillId="3" borderId="3" xfId="0" applyFont="1" applyFill="1" applyBorder="1"/>
    <xf numFmtId="0" fontId="29" fillId="3" borderId="3" xfId="0" applyFont="1" applyFill="1" applyBorder="1"/>
    <xf numFmtId="0" fontId="0" fillId="0" borderId="25" xfId="0" applyBorder="1"/>
    <xf numFmtId="164" fontId="34" fillId="0" borderId="4" xfId="1" applyFont="1" applyBorder="1"/>
    <xf numFmtId="0" fontId="0" fillId="0" borderId="10" xfId="0" applyBorder="1"/>
    <xf numFmtId="0" fontId="0" fillId="0" borderId="7" xfId="0" applyBorder="1"/>
    <xf numFmtId="0" fontId="0" fillId="0" borderId="26" xfId="0" applyBorder="1"/>
    <xf numFmtId="0" fontId="0" fillId="0" borderId="13" xfId="0" applyBorder="1"/>
    <xf numFmtId="0" fontId="0" fillId="0" borderId="27" xfId="0" applyBorder="1"/>
    <xf numFmtId="0" fontId="0" fillId="0" borderId="28" xfId="0" applyBorder="1"/>
    <xf numFmtId="0" fontId="0" fillId="0" borderId="8" xfId="0" applyBorder="1" applyAlignment="1">
      <alignment horizontal="center"/>
    </xf>
    <xf numFmtId="164" fontId="0" fillId="0" borderId="9" xfId="1" applyFont="1" applyBorder="1"/>
    <xf numFmtId="164" fontId="0" fillId="0" borderId="4" xfId="0" applyNumberFormat="1" applyBorder="1"/>
    <xf numFmtId="9" fontId="34" fillId="0" borderId="4" xfId="2" applyFont="1" applyBorder="1"/>
    <xf numFmtId="0" fontId="45" fillId="3" borderId="0" xfId="0" applyFont="1" applyFill="1"/>
    <xf numFmtId="0" fontId="0" fillId="15" borderId="0" xfId="0" applyFill="1"/>
    <xf numFmtId="14" fontId="0" fillId="0" borderId="8" xfId="0" applyNumberFormat="1" applyBorder="1" applyAlignment="1">
      <alignment horizontal="center"/>
    </xf>
    <xf numFmtId="164" fontId="0" fillId="0" borderId="8" xfId="1" applyFont="1" applyFill="1" applyBorder="1"/>
    <xf numFmtId="164" fontId="37" fillId="0" borderId="8" xfId="1" applyFont="1" applyBorder="1"/>
    <xf numFmtId="164" fontId="31" fillId="0" borderId="8" xfId="1" applyFont="1" applyFill="1" applyBorder="1"/>
    <xf numFmtId="164" fontId="0" fillId="0" borderId="8" xfId="0" applyNumberFormat="1" applyBorder="1"/>
    <xf numFmtId="164" fontId="34" fillId="8" borderId="4" xfId="1" applyFont="1" applyFill="1" applyBorder="1" applyAlignment="1">
      <alignment horizontal="center" vertical="center"/>
    </xf>
    <xf numFmtId="164" fontId="34" fillId="8" borderId="23" xfId="1" applyFont="1" applyFill="1" applyBorder="1" applyAlignment="1">
      <alignment horizontal="center" vertical="center"/>
    </xf>
    <xf numFmtId="0" fontId="34" fillId="8" borderId="22" xfId="0" applyFont="1" applyFill="1" applyBorder="1" applyAlignment="1">
      <alignment horizontal="center"/>
    </xf>
    <xf numFmtId="9" fontId="34" fillId="8" borderId="23" xfId="0" applyNumberFormat="1" applyFont="1" applyFill="1" applyBorder="1" applyAlignment="1">
      <alignment horizontal="center"/>
    </xf>
    <xf numFmtId="0" fontId="29" fillId="9" borderId="3" xfId="0" applyFont="1" applyFill="1" applyBorder="1"/>
    <xf numFmtId="0" fontId="34" fillId="3" borderId="4" xfId="0" applyFont="1" applyFill="1" applyBorder="1"/>
    <xf numFmtId="0" fontId="34" fillId="3" borderId="11" xfId="0" applyFont="1" applyFill="1" applyBorder="1"/>
    <xf numFmtId="0" fontId="34" fillId="3" borderId="7" xfId="0" applyFont="1" applyFill="1" applyBorder="1"/>
    <xf numFmtId="0" fontId="34" fillId="3" borderId="4" xfId="0" applyFont="1" applyFill="1" applyBorder="1" applyAlignment="1">
      <alignment horizontal="center"/>
    </xf>
    <xf numFmtId="164" fontId="43" fillId="0" borderId="9" xfId="1" applyFont="1" applyBorder="1"/>
    <xf numFmtId="0" fontId="35" fillId="16" borderId="3" xfId="0" applyFont="1" applyFill="1" applyBorder="1"/>
    <xf numFmtId="0" fontId="37" fillId="16" borderId="3" xfId="0" applyFont="1" applyFill="1" applyBorder="1" applyAlignment="1">
      <alignment horizontal="center"/>
    </xf>
    <xf numFmtId="0" fontId="0" fillId="16" borderId="3" xfId="0" applyFill="1" applyBorder="1"/>
    <xf numFmtId="0" fontId="36" fillId="16" borderId="3" xfId="0" applyFont="1" applyFill="1" applyBorder="1" applyAlignment="1">
      <alignment horizontal="center"/>
    </xf>
    <xf numFmtId="0" fontId="36" fillId="16" borderId="3" xfId="0" applyFont="1" applyFill="1" applyBorder="1" applyAlignment="1">
      <alignment horizontal="center" vertical="top" wrapText="1"/>
    </xf>
    <xf numFmtId="14" fontId="35" fillId="16" borderId="3" xfId="0" applyNumberFormat="1" applyFont="1" applyFill="1" applyBorder="1"/>
    <xf numFmtId="0" fontId="37" fillId="16" borderId="3" xfId="0" applyFont="1" applyFill="1" applyBorder="1" applyAlignment="1">
      <alignment horizontal="center" vertical="top" wrapText="1"/>
    </xf>
    <xf numFmtId="14" fontId="0" fillId="16" borderId="3" xfId="0" applyNumberFormat="1" applyFill="1" applyBorder="1"/>
    <xf numFmtId="0" fontId="0" fillId="16" borderId="6" xfId="0" applyFill="1" applyBorder="1"/>
    <xf numFmtId="0" fontId="30" fillId="16" borderId="3" xfId="0" applyFont="1" applyFill="1" applyBorder="1" applyAlignment="1">
      <alignment horizontal="center"/>
    </xf>
    <xf numFmtId="0" fontId="43" fillId="16" borderId="3" xfId="0" applyFont="1" applyFill="1" applyBorder="1" applyAlignment="1">
      <alignment horizontal="center" vertical="top" wrapText="1"/>
    </xf>
    <xf numFmtId="0" fontId="43" fillId="16" borderId="3" xfId="0" applyFont="1" applyFill="1" applyBorder="1"/>
    <xf numFmtId="14" fontId="0" fillId="0" borderId="9" xfId="0" applyNumberFormat="1" applyBorder="1"/>
    <xf numFmtId="164" fontId="0" fillId="0" borderId="19" xfId="1" applyFont="1" applyFill="1" applyBorder="1"/>
    <xf numFmtId="164" fontId="0" fillId="0" borderId="19" xfId="1" applyFont="1" applyBorder="1"/>
    <xf numFmtId="14" fontId="0" fillId="3" borderId="3" xfId="0" applyNumberFormat="1" applyFill="1" applyBorder="1"/>
    <xf numFmtId="164" fontId="0" fillId="3" borderId="3" xfId="1" applyFont="1" applyFill="1" applyBorder="1"/>
    <xf numFmtId="164" fontId="43" fillId="3" borderId="3" xfId="1" applyFont="1" applyFill="1" applyBorder="1"/>
    <xf numFmtId="0" fontId="37" fillId="9" borderId="9" xfId="0" applyFont="1" applyFill="1" applyBorder="1" applyAlignment="1">
      <alignment horizontal="center" vertical="top" wrapText="1"/>
    </xf>
    <xf numFmtId="0" fontId="28" fillId="9" borderId="3" xfId="0" applyFont="1" applyFill="1" applyBorder="1"/>
    <xf numFmtId="0" fontId="0" fillId="9" borderId="8" xfId="0" applyFill="1" applyBorder="1"/>
    <xf numFmtId="0" fontId="43" fillId="9" borderId="3" xfId="0" applyFont="1" applyFill="1" applyBorder="1" applyAlignment="1">
      <alignment horizontal="center" vertical="top" wrapText="1"/>
    </xf>
    <xf numFmtId="164" fontId="43" fillId="9" borderId="3" xfId="1" applyFont="1" applyFill="1" applyBorder="1"/>
    <xf numFmtId="0" fontId="43" fillId="9" borderId="9" xfId="0" applyFont="1" applyFill="1" applyBorder="1"/>
    <xf numFmtId="0" fontId="26" fillId="0" borderId="3" xfId="0" applyFont="1" applyBorder="1" applyAlignment="1">
      <alignment horizontal="center"/>
    </xf>
    <xf numFmtId="14" fontId="26" fillId="0" borderId="3" xfId="0" applyNumberFormat="1" applyFont="1" applyBorder="1"/>
    <xf numFmtId="0" fontId="26" fillId="0" borderId="3" xfId="0" applyFont="1" applyBorder="1"/>
    <xf numFmtId="164" fontId="26" fillId="0" borderId="3" xfId="1" applyFont="1" applyFill="1" applyBorder="1"/>
    <xf numFmtId="0" fontId="26" fillId="0" borderId="0" xfId="0" applyFont="1"/>
    <xf numFmtId="164" fontId="26" fillId="0" borderId="3" xfId="1" applyFont="1" applyBorder="1"/>
    <xf numFmtId="164" fontId="0" fillId="0" borderId="37" xfId="1" applyFont="1" applyBorder="1"/>
    <xf numFmtId="0" fontId="0" fillId="0" borderId="9" xfId="0" applyBorder="1" applyAlignment="1">
      <alignment horizontal="center"/>
    </xf>
    <xf numFmtId="164" fontId="27" fillId="0" borderId="9" xfId="1" applyFont="1" applyBorder="1"/>
    <xf numFmtId="164" fontId="27" fillId="0" borderId="9" xfId="1" applyFont="1" applyFill="1" applyBorder="1"/>
    <xf numFmtId="164" fontId="43" fillId="0" borderId="9" xfId="1" applyFont="1" applyFill="1" applyBorder="1"/>
    <xf numFmtId="0" fontId="29" fillId="9" borderId="9" xfId="0" applyFont="1" applyFill="1" applyBorder="1"/>
    <xf numFmtId="0" fontId="25" fillId="0" borderId="3" xfId="0" applyFont="1" applyBorder="1" applyAlignment="1">
      <alignment horizontal="center"/>
    </xf>
    <xf numFmtId="164" fontId="34" fillId="0" borderId="1" xfId="0" applyNumberFormat="1" applyFont="1" applyBorder="1"/>
    <xf numFmtId="164" fontId="34" fillId="3" borderId="1" xfId="0" applyNumberFormat="1" applyFont="1" applyFill="1" applyBorder="1"/>
    <xf numFmtId="14" fontId="43" fillId="0" borderId="3" xfId="0" applyNumberFormat="1" applyFont="1" applyBorder="1"/>
    <xf numFmtId="164" fontId="0" fillId="9" borderId="3" xfId="1" applyFont="1" applyFill="1" applyBorder="1"/>
    <xf numFmtId="14" fontId="0" fillId="0" borderId="31" xfId="0" applyNumberFormat="1" applyBorder="1"/>
    <xf numFmtId="0" fontId="0" fillId="0" borderId="16" xfId="0" applyBorder="1"/>
    <xf numFmtId="14" fontId="35" fillId="17" borderId="3" xfId="0" applyNumberFormat="1" applyFont="1" applyFill="1" applyBorder="1" applyAlignment="1">
      <alignment horizontal="center"/>
    </xf>
    <xf numFmtId="0" fontId="37" fillId="17" borderId="3" xfId="0" applyFont="1" applyFill="1" applyBorder="1" applyAlignment="1">
      <alignment horizontal="center"/>
    </xf>
    <xf numFmtId="0" fontId="35" fillId="17" borderId="3" xfId="0" applyFont="1" applyFill="1" applyBorder="1" applyAlignment="1">
      <alignment horizontal="center"/>
    </xf>
    <xf numFmtId="0" fontId="0" fillId="17" borderId="3" xfId="0" applyFill="1" applyBorder="1"/>
    <xf numFmtId="0" fontId="0" fillId="17" borderId="3" xfId="0" applyFill="1" applyBorder="1" applyAlignment="1">
      <alignment horizontal="center"/>
    </xf>
    <xf numFmtId="14" fontId="0" fillId="17" borderId="6" xfId="0" applyNumberFormat="1" applyFill="1" applyBorder="1"/>
    <xf numFmtId="0" fontId="43" fillId="17" borderId="3" xfId="0" applyFont="1" applyFill="1" applyBorder="1" applyAlignment="1">
      <alignment horizontal="center" vertical="top" wrapText="1"/>
    </xf>
    <xf numFmtId="0" fontId="43" fillId="17" borderId="3" xfId="0" applyFont="1" applyFill="1" applyBorder="1"/>
    <xf numFmtId="0" fontId="0" fillId="17" borderId="6" xfId="0" applyFill="1" applyBorder="1"/>
    <xf numFmtId="0" fontId="36" fillId="17" borderId="3" xfId="0" applyFont="1" applyFill="1" applyBorder="1" applyAlignment="1">
      <alignment horizontal="center" vertical="top" wrapText="1"/>
    </xf>
    <xf numFmtId="0" fontId="37" fillId="17" borderId="3" xfId="0" applyFont="1" applyFill="1" applyBorder="1" applyAlignment="1">
      <alignment horizontal="center" vertical="top" wrapText="1"/>
    </xf>
    <xf numFmtId="0" fontId="43" fillId="17" borderId="3" xfId="0" applyFont="1" applyFill="1" applyBorder="1" applyAlignment="1">
      <alignment horizontal="left"/>
    </xf>
    <xf numFmtId="14" fontId="0" fillId="18" borderId="6" xfId="0" applyNumberFormat="1" applyFill="1" applyBorder="1"/>
    <xf numFmtId="0" fontId="36" fillId="18" borderId="3" xfId="0" applyFont="1" applyFill="1" applyBorder="1" applyAlignment="1">
      <alignment horizontal="center" vertical="top" wrapText="1"/>
    </xf>
    <xf numFmtId="0" fontId="43" fillId="18" borderId="3" xfId="0" applyFont="1" applyFill="1" applyBorder="1"/>
    <xf numFmtId="164" fontId="36" fillId="18" borderId="3" xfId="1" applyFont="1" applyFill="1" applyBorder="1"/>
    <xf numFmtId="0" fontId="0" fillId="18" borderId="3" xfId="0" applyFill="1" applyBorder="1"/>
    <xf numFmtId="0" fontId="37" fillId="18" borderId="3" xfId="0" applyFont="1" applyFill="1" applyBorder="1" applyAlignment="1">
      <alignment horizontal="center" vertical="top" wrapText="1"/>
    </xf>
    <xf numFmtId="0" fontId="0" fillId="18" borderId="6" xfId="0" applyFill="1" applyBorder="1"/>
    <xf numFmtId="0" fontId="43" fillId="18" borderId="9" xfId="0" applyFont="1" applyFill="1" applyBorder="1" applyAlignment="1">
      <alignment horizontal="center" vertical="top" wrapText="1"/>
    </xf>
    <xf numFmtId="0" fontId="43" fillId="18" borderId="9" xfId="0" applyFont="1" applyFill="1" applyBorder="1" applyAlignment="1">
      <alignment horizontal="left"/>
    </xf>
    <xf numFmtId="0" fontId="43" fillId="18" borderId="3" xfId="0" applyFont="1" applyFill="1" applyBorder="1" applyAlignment="1">
      <alignment horizontal="center" vertical="top" wrapText="1"/>
    </xf>
    <xf numFmtId="0" fontId="43" fillId="18" borderId="3" xfId="0" applyFont="1" applyFill="1" applyBorder="1" applyAlignment="1">
      <alignment horizontal="left" vertical="top" wrapText="1"/>
    </xf>
    <xf numFmtId="164" fontId="43" fillId="18" borderId="3" xfId="1" applyFont="1" applyFill="1" applyBorder="1"/>
    <xf numFmtId="0" fontId="43" fillId="18" borderId="3" xfId="0" applyFont="1" applyFill="1" applyBorder="1" applyAlignment="1">
      <alignment horizontal="left"/>
    </xf>
    <xf numFmtId="0" fontId="43" fillId="18" borderId="9" xfId="0" applyFont="1" applyFill="1" applyBorder="1"/>
    <xf numFmtId="164" fontId="43" fillId="0" borderId="8" xfId="1" applyFont="1" applyFill="1" applyBorder="1"/>
    <xf numFmtId="164" fontId="43" fillId="0" borderId="13" xfId="1" applyFont="1" applyFill="1" applyBorder="1"/>
    <xf numFmtId="164" fontId="43" fillId="0" borderId="8" xfId="0" applyNumberFormat="1" applyFont="1" applyBorder="1"/>
    <xf numFmtId="164" fontId="43" fillId="0" borderId="0" xfId="1" applyFont="1"/>
    <xf numFmtId="14" fontId="35" fillId="4" borderId="3" xfId="0" applyNumberFormat="1" applyFont="1" applyFill="1" applyBorder="1" applyAlignment="1">
      <alignment horizontal="center"/>
    </xf>
    <xf numFmtId="0" fontId="36" fillId="4" borderId="3" xfId="0" applyFont="1" applyFill="1" applyBorder="1" applyAlignment="1">
      <alignment horizontal="center" vertical="top" wrapText="1"/>
    </xf>
    <xf numFmtId="0" fontId="36" fillId="4" borderId="3" xfId="0" applyFont="1" applyFill="1" applyBorder="1" applyAlignment="1">
      <alignment horizontal="center"/>
    </xf>
    <xf numFmtId="0" fontId="35" fillId="4" borderId="3" xfId="0" applyFont="1" applyFill="1" applyBorder="1" applyAlignment="1">
      <alignment horizontal="center"/>
    </xf>
    <xf numFmtId="0" fontId="0" fillId="4" borderId="3" xfId="0" applyFill="1" applyBorder="1"/>
    <xf numFmtId="0" fontId="0" fillId="4" borderId="3" xfId="0" applyFill="1" applyBorder="1" applyAlignment="1">
      <alignment horizontal="center"/>
    </xf>
    <xf numFmtId="164" fontId="0" fillId="4" borderId="0" xfId="1" quotePrefix="1" applyFont="1" applyFill="1"/>
    <xf numFmtId="0" fontId="0" fillId="19" borderId="3" xfId="0" applyFill="1" applyBorder="1"/>
    <xf numFmtId="0" fontId="43" fillId="19" borderId="3" xfId="0" applyFont="1" applyFill="1" applyBorder="1" applyAlignment="1">
      <alignment horizontal="center" vertical="top" wrapText="1"/>
    </xf>
    <xf numFmtId="164" fontId="43" fillId="19" borderId="3" xfId="1" applyFont="1" applyFill="1" applyBorder="1"/>
    <xf numFmtId="0" fontId="0" fillId="19" borderId="0" xfId="0" applyFill="1"/>
    <xf numFmtId="0" fontId="0" fillId="4" borderId="6" xfId="0" applyFill="1" applyBorder="1"/>
    <xf numFmtId="0" fontId="43" fillId="4" borderId="3" xfId="0" applyFont="1" applyFill="1" applyBorder="1" applyAlignment="1">
      <alignment horizontal="center" vertical="top" wrapText="1"/>
    </xf>
    <xf numFmtId="0" fontId="43" fillId="4" borderId="3" xfId="0" applyFont="1" applyFill="1" applyBorder="1" applyAlignment="1">
      <alignment horizontal="left"/>
    </xf>
    <xf numFmtId="164" fontId="43" fillId="4" borderId="3" xfId="1" applyFont="1" applyFill="1" applyBorder="1"/>
    <xf numFmtId="164" fontId="24" fillId="0" borderId="3" xfId="1" applyFont="1" applyFill="1" applyBorder="1"/>
    <xf numFmtId="164" fontId="24" fillId="0" borderId="3" xfId="1" applyFont="1" applyBorder="1"/>
    <xf numFmtId="164" fontId="34" fillId="0" borderId="0" xfId="0" applyNumberFormat="1" applyFont="1"/>
    <xf numFmtId="164" fontId="34" fillId="0" borderId="0" xfId="0" applyNumberFormat="1" applyFont="1" applyAlignment="1">
      <alignment horizontal="right"/>
    </xf>
    <xf numFmtId="14" fontId="0" fillId="9" borderId="3" xfId="0" applyNumberFormat="1" applyFill="1" applyBorder="1" applyAlignment="1">
      <alignment horizontal="center"/>
    </xf>
    <xf numFmtId="0" fontId="43" fillId="9" borderId="3" xfId="0" applyFont="1" applyFill="1" applyBorder="1" applyAlignment="1">
      <alignment horizontal="left" vertical="top" wrapText="1"/>
    </xf>
    <xf numFmtId="0" fontId="43" fillId="9" borderId="3" xfId="0" applyFont="1" applyFill="1" applyBorder="1"/>
    <xf numFmtId="164" fontId="43" fillId="0" borderId="8" xfId="1" applyFont="1" applyBorder="1"/>
    <xf numFmtId="164" fontId="34" fillId="8" borderId="11" xfId="1" applyFont="1" applyFill="1" applyBorder="1" applyAlignment="1">
      <alignment horizontal="center" vertical="center"/>
    </xf>
    <xf numFmtId="0" fontId="24" fillId="9" borderId="3" xfId="0" applyFont="1" applyFill="1" applyBorder="1" applyAlignment="1">
      <alignment horizontal="center" vertical="top" wrapText="1"/>
    </xf>
    <xf numFmtId="0" fontId="24" fillId="9" borderId="3" xfId="0" applyFont="1" applyFill="1" applyBorder="1"/>
    <xf numFmtId="0" fontId="0" fillId="10" borderId="32" xfId="0" applyFill="1" applyBorder="1"/>
    <xf numFmtId="0" fontId="34" fillId="10" borderId="33" xfId="0" applyFont="1" applyFill="1" applyBorder="1" applyAlignment="1">
      <alignment horizontal="center"/>
    </xf>
    <xf numFmtId="164" fontId="34" fillId="10" borderId="34" xfId="1" applyFont="1" applyFill="1" applyBorder="1" applyAlignment="1">
      <alignment horizontal="center"/>
    </xf>
    <xf numFmtId="0" fontId="0" fillId="0" borderId="38" xfId="0" applyBorder="1"/>
    <xf numFmtId="0" fontId="0" fillId="8" borderId="14" xfId="0" applyFill="1" applyBorder="1"/>
    <xf numFmtId="0" fontId="21" fillId="0" borderId="25" xfId="0" applyFont="1" applyBorder="1" applyAlignment="1">
      <alignment horizontal="left"/>
    </xf>
    <xf numFmtId="164" fontId="0" fillId="0" borderId="39" xfId="1" applyFont="1" applyBorder="1"/>
    <xf numFmtId="164" fontId="21" fillId="0" borderId="3" xfId="1" applyFont="1" applyFill="1" applyBorder="1"/>
    <xf numFmtId="164" fontId="21" fillId="0" borderId="3" xfId="1" applyFont="1" applyBorder="1"/>
    <xf numFmtId="164" fontId="21" fillId="11" borderId="3" xfId="1" applyFont="1" applyFill="1" applyBorder="1"/>
    <xf numFmtId="0" fontId="21" fillId="7" borderId="3" xfId="0" applyFont="1" applyFill="1" applyBorder="1" applyAlignment="1">
      <alignment horizontal="center" vertical="top" wrapText="1"/>
    </xf>
    <xf numFmtId="0" fontId="0" fillId="20" borderId="3" xfId="0" applyFill="1" applyBorder="1"/>
    <xf numFmtId="0" fontId="43" fillId="20" borderId="3" xfId="0" applyFont="1" applyFill="1" applyBorder="1" applyAlignment="1">
      <alignment horizontal="center" vertical="top" wrapText="1"/>
    </xf>
    <xf numFmtId="0" fontId="43" fillId="20" borderId="3" xfId="0" applyFont="1" applyFill="1" applyBorder="1"/>
    <xf numFmtId="164" fontId="36" fillId="20" borderId="3" xfId="1" applyFont="1" applyFill="1" applyBorder="1"/>
    <xf numFmtId="0" fontId="43" fillId="4" borderId="9" xfId="0" applyFont="1" applyFill="1" applyBorder="1" applyAlignment="1">
      <alignment horizontal="center" vertical="top" wrapText="1"/>
    </xf>
    <xf numFmtId="0" fontId="43" fillId="4" borderId="9" xfId="0" applyFont="1" applyFill="1" applyBorder="1"/>
    <xf numFmtId="14" fontId="0" fillId="4" borderId="6" xfId="0" applyNumberFormat="1" applyFill="1" applyBorder="1"/>
    <xf numFmtId="0" fontId="24" fillId="4" borderId="3" xfId="0" applyFont="1" applyFill="1" applyBorder="1" applyAlignment="1">
      <alignment horizontal="center" vertical="top" wrapText="1"/>
    </xf>
    <xf numFmtId="0" fontId="24" fillId="4" borderId="3" xfId="0" applyFont="1" applyFill="1" applyBorder="1"/>
    <xf numFmtId="164" fontId="0" fillId="8" borderId="40" xfId="1" applyFont="1" applyFill="1" applyBorder="1"/>
    <xf numFmtId="164" fontId="21" fillId="0" borderId="17" xfId="1" applyFont="1" applyFill="1" applyBorder="1" applyAlignment="1">
      <alignment horizontal="left"/>
    </xf>
    <xf numFmtId="0" fontId="0" fillId="3" borderId="0" xfId="0" applyFill="1"/>
    <xf numFmtId="164" fontId="20" fillId="0" borderId="3" xfId="1" applyFont="1" applyFill="1" applyBorder="1"/>
    <xf numFmtId="164" fontId="20" fillId="0" borderId="3" xfId="1" applyFont="1" applyBorder="1"/>
    <xf numFmtId="14" fontId="0" fillId="3" borderId="8" xfId="0" applyNumberFormat="1" applyFill="1" applyBorder="1" applyAlignment="1">
      <alignment horizontal="center"/>
    </xf>
    <xf numFmtId="164" fontId="31" fillId="3" borderId="3" xfId="1" applyFont="1" applyFill="1" applyBorder="1"/>
    <xf numFmtId="164" fontId="44" fillId="3" borderId="3" xfId="1" applyFont="1" applyFill="1" applyBorder="1"/>
    <xf numFmtId="164" fontId="0" fillId="3" borderId="3" xfId="0" applyNumberFormat="1" applyFill="1" applyBorder="1"/>
    <xf numFmtId="0" fontId="0" fillId="19" borderId="5" xfId="0" applyFill="1" applyBorder="1"/>
    <xf numFmtId="0" fontId="0" fillId="8" borderId="6" xfId="0" applyFill="1" applyBorder="1"/>
    <xf numFmtId="0" fontId="43" fillId="8" borderId="9" xfId="0" applyFont="1" applyFill="1" applyBorder="1" applyAlignment="1">
      <alignment horizontal="center" vertical="top" wrapText="1"/>
    </xf>
    <xf numFmtId="0" fontId="43" fillId="8" borderId="9" xfId="0" applyFont="1" applyFill="1" applyBorder="1"/>
    <xf numFmtId="164" fontId="0" fillId="8" borderId="6" xfId="1" applyFont="1" applyFill="1" applyBorder="1"/>
    <xf numFmtId="0" fontId="0" fillId="8" borderId="5" xfId="0" applyFill="1" applyBorder="1"/>
    <xf numFmtId="0" fontId="21" fillId="8" borderId="3" xfId="0" applyFont="1" applyFill="1" applyBorder="1" applyAlignment="1">
      <alignment horizontal="center" vertical="top" wrapText="1"/>
    </xf>
    <xf numFmtId="0" fontId="21" fillId="8" borderId="3" xfId="0" applyFont="1" applyFill="1" applyBorder="1"/>
    <xf numFmtId="14" fontId="0" fillId="8" borderId="6" xfId="0" applyNumberFormat="1" applyFill="1" applyBorder="1"/>
    <xf numFmtId="0" fontId="22" fillId="8" borderId="3" xfId="0" applyFont="1" applyFill="1" applyBorder="1"/>
    <xf numFmtId="0" fontId="43" fillId="8" borderId="3" xfId="0" applyFont="1" applyFill="1" applyBorder="1"/>
    <xf numFmtId="0" fontId="23" fillId="8" borderId="3" xfId="0" applyFont="1" applyFill="1" applyBorder="1"/>
    <xf numFmtId="0" fontId="24" fillId="8" borderId="3" xfId="0" applyFont="1" applyFill="1" applyBorder="1" applyAlignment="1">
      <alignment horizontal="center" vertical="top" wrapText="1"/>
    </xf>
    <xf numFmtId="14" fontId="24" fillId="8" borderId="3" xfId="0" applyNumberFormat="1" applyFont="1" applyFill="1" applyBorder="1"/>
    <xf numFmtId="0" fontId="24" fillId="8" borderId="3" xfId="0" applyFont="1" applyFill="1" applyBorder="1"/>
    <xf numFmtId="164" fontId="0" fillId="0" borderId="5" xfId="1" applyFont="1" applyFill="1" applyBorder="1"/>
    <xf numFmtId="164" fontId="0" fillId="0" borderId="5" xfId="0" applyNumberFormat="1" applyBorder="1"/>
    <xf numFmtId="0" fontId="45" fillId="3" borderId="10" xfId="0" applyFont="1" applyFill="1" applyBorder="1"/>
    <xf numFmtId="0" fontId="45" fillId="3" borderId="11" xfId="0" applyFont="1" applyFill="1" applyBorder="1"/>
    <xf numFmtId="0" fontId="45" fillId="3" borderId="7" xfId="0" applyFont="1" applyFill="1" applyBorder="1"/>
    <xf numFmtId="0" fontId="34" fillId="8" borderId="0" xfId="0" applyFont="1" applyFill="1" applyAlignment="1">
      <alignment horizontal="center"/>
    </xf>
    <xf numFmtId="164" fontId="0" fillId="0" borderId="8" xfId="1" applyFont="1" applyFill="1" applyBorder="1" applyAlignment="1">
      <alignment horizontal="left"/>
    </xf>
    <xf numFmtId="164" fontId="0" fillId="0" borderId="3" xfId="1" applyFont="1" applyFill="1" applyBorder="1" applyAlignment="1">
      <alignment horizontal="left"/>
    </xf>
    <xf numFmtId="164" fontId="24" fillId="0" borderId="3" xfId="1" applyFont="1" applyFill="1" applyBorder="1" applyAlignment="1">
      <alignment horizontal="left"/>
    </xf>
    <xf numFmtId="164" fontId="21" fillId="0" borderId="3" xfId="1" applyFont="1" applyFill="1" applyBorder="1" applyAlignment="1">
      <alignment horizontal="left"/>
    </xf>
    <xf numFmtId="164" fontId="31" fillId="0" borderId="3" xfId="1" applyFont="1" applyFill="1" applyBorder="1" applyAlignment="1">
      <alignment horizontal="left"/>
    </xf>
    <xf numFmtId="164" fontId="0" fillId="3" borderId="3" xfId="1" applyFont="1" applyFill="1" applyBorder="1" applyAlignment="1">
      <alignment horizontal="left"/>
    </xf>
    <xf numFmtId="164" fontId="20" fillId="0" borderId="3" xfId="1" applyFont="1" applyFill="1" applyBorder="1" applyAlignment="1">
      <alignment horizontal="left"/>
    </xf>
    <xf numFmtId="164" fontId="0" fillId="19" borderId="4" xfId="0" applyNumberFormat="1" applyFill="1" applyBorder="1"/>
    <xf numFmtId="0" fontId="19" fillId="9" borderId="3" xfId="0" applyFont="1" applyFill="1" applyBorder="1" applyAlignment="1">
      <alignment horizontal="center" vertical="top" wrapText="1"/>
    </xf>
    <xf numFmtId="0" fontId="21" fillId="9" borderId="3" xfId="0" applyFont="1" applyFill="1" applyBorder="1" applyAlignment="1">
      <alignment horizontal="center" vertical="top" wrapText="1"/>
    </xf>
    <xf numFmtId="0" fontId="0" fillId="9" borderId="5" xfId="0" applyFill="1" applyBorder="1"/>
    <xf numFmtId="0" fontId="21" fillId="9" borderId="3" xfId="0" applyFont="1" applyFill="1" applyBorder="1"/>
    <xf numFmtId="0" fontId="19" fillId="9" borderId="9" xfId="0" applyFont="1" applyFill="1" applyBorder="1" applyAlignment="1">
      <alignment horizontal="center" vertical="top" wrapText="1"/>
    </xf>
    <xf numFmtId="0" fontId="21" fillId="9" borderId="9" xfId="0" applyFont="1" applyFill="1" applyBorder="1" applyAlignment="1">
      <alignment horizontal="center" vertical="top" wrapText="1"/>
    </xf>
    <xf numFmtId="0" fontId="21" fillId="9" borderId="9" xfId="0" applyFont="1" applyFill="1" applyBorder="1"/>
    <xf numFmtId="0" fontId="20" fillId="9" borderId="9" xfId="0" applyFont="1" applyFill="1" applyBorder="1" applyAlignment="1">
      <alignment horizontal="center" vertical="top" wrapText="1"/>
    </xf>
    <xf numFmtId="0" fontId="20" fillId="9" borderId="9" xfId="0" applyFont="1" applyFill="1" applyBorder="1"/>
    <xf numFmtId="164" fontId="18" fillId="0" borderId="3" xfId="1" applyFont="1" applyFill="1" applyBorder="1"/>
    <xf numFmtId="164" fontId="18" fillId="0" borderId="3" xfId="1" applyFont="1" applyBorder="1"/>
    <xf numFmtId="0" fontId="43" fillId="17" borderId="9" xfId="0" applyFont="1" applyFill="1" applyBorder="1" applyAlignment="1">
      <alignment horizontal="center" vertical="top" wrapText="1"/>
    </xf>
    <xf numFmtId="0" fontId="23" fillId="17" borderId="3" xfId="0" applyFont="1" applyFill="1" applyBorder="1"/>
    <xf numFmtId="164" fontId="0" fillId="17" borderId="0" xfId="1" applyFont="1" applyFill="1"/>
    <xf numFmtId="0" fontId="19" fillId="17" borderId="3" xfId="0" applyFont="1" applyFill="1" applyBorder="1" applyAlignment="1">
      <alignment horizontal="center" vertical="top" wrapText="1"/>
    </xf>
    <xf numFmtId="0" fontId="21" fillId="17" borderId="3" xfId="0" applyFont="1" applyFill="1" applyBorder="1" applyAlignment="1">
      <alignment horizontal="center" vertical="top" wrapText="1"/>
    </xf>
    <xf numFmtId="0" fontId="0" fillId="17" borderId="5" xfId="0" applyFill="1" applyBorder="1"/>
    <xf numFmtId="0" fontId="20" fillId="17" borderId="3" xfId="0" applyFont="1" applyFill="1" applyBorder="1" applyAlignment="1">
      <alignment horizontal="center" vertical="top" wrapText="1"/>
    </xf>
    <xf numFmtId="0" fontId="20" fillId="17" borderId="3" xfId="0" applyFont="1" applyFill="1" applyBorder="1"/>
    <xf numFmtId="14" fontId="0" fillId="17" borderId="3" xfId="0" applyNumberFormat="1" applyFill="1" applyBorder="1"/>
    <xf numFmtId="0" fontId="20" fillId="17" borderId="13" xfId="0" applyFont="1" applyFill="1" applyBorder="1"/>
    <xf numFmtId="0" fontId="47" fillId="7" borderId="24" xfId="0" applyFont="1" applyFill="1" applyBorder="1" applyAlignment="1">
      <alignment horizontal="left" vertical="top"/>
    </xf>
    <xf numFmtId="0" fontId="0" fillId="0" borderId="0" xfId="0" applyAlignment="1">
      <alignment horizontal="left"/>
    </xf>
    <xf numFmtId="0" fontId="35" fillId="21" borderId="3" xfId="0" applyFont="1" applyFill="1" applyBorder="1"/>
    <xf numFmtId="0" fontId="36" fillId="21" borderId="3" xfId="0" applyFont="1" applyFill="1" applyBorder="1" applyAlignment="1">
      <alignment horizontal="center" vertical="top" wrapText="1"/>
    </xf>
    <xf numFmtId="0" fontId="36" fillId="21" borderId="3" xfId="0" applyFont="1" applyFill="1" applyBorder="1" applyAlignment="1">
      <alignment horizontal="center"/>
    </xf>
    <xf numFmtId="0" fontId="0" fillId="21" borderId="3" xfId="0" applyFill="1" applyBorder="1"/>
    <xf numFmtId="164" fontId="0" fillId="21" borderId="6" xfId="1" applyFont="1" applyFill="1" applyBorder="1"/>
    <xf numFmtId="0" fontId="0" fillId="21" borderId="5" xfId="0" applyFill="1" applyBorder="1"/>
    <xf numFmtId="14" fontId="0" fillId="21" borderId="6" xfId="0" applyNumberFormat="1" applyFill="1" applyBorder="1"/>
    <xf numFmtId="0" fontId="20" fillId="21" borderId="3" xfId="0" applyFont="1" applyFill="1" applyBorder="1" applyAlignment="1">
      <alignment horizontal="center" vertical="top" wrapText="1"/>
    </xf>
    <xf numFmtId="0" fontId="20" fillId="21" borderId="3" xfId="0" applyFont="1" applyFill="1" applyBorder="1"/>
    <xf numFmtId="164" fontId="0" fillId="21" borderId="0" xfId="1" applyFont="1" applyFill="1"/>
    <xf numFmtId="14" fontId="0" fillId="21" borderId="3" xfId="0" applyNumberFormat="1" applyFill="1" applyBorder="1"/>
    <xf numFmtId="0" fontId="43" fillId="21" borderId="3" xfId="0" applyFont="1" applyFill="1" applyBorder="1" applyAlignment="1">
      <alignment horizontal="center" vertical="top" wrapText="1"/>
    </xf>
    <xf numFmtId="164" fontId="43" fillId="21" borderId="3" xfId="1" applyFont="1" applyFill="1" applyBorder="1"/>
    <xf numFmtId="0" fontId="20" fillId="21" borderId="13" xfId="0" applyFont="1" applyFill="1" applyBorder="1"/>
    <xf numFmtId="0" fontId="18" fillId="21" borderId="3" xfId="0" applyFont="1" applyFill="1" applyBorder="1" applyAlignment="1">
      <alignment horizontal="center" vertical="top" wrapText="1"/>
    </xf>
    <xf numFmtId="164" fontId="18" fillId="21" borderId="3" xfId="1" applyFont="1" applyFill="1" applyBorder="1"/>
    <xf numFmtId="0" fontId="19" fillId="3" borderId="3" xfId="0" applyFont="1" applyFill="1" applyBorder="1" applyAlignment="1">
      <alignment horizontal="center" vertical="top" wrapText="1"/>
    </xf>
    <xf numFmtId="0" fontId="21" fillId="3" borderId="3" xfId="0" applyFont="1" applyFill="1" applyBorder="1" applyAlignment="1">
      <alignment horizontal="center" vertical="top" wrapText="1"/>
    </xf>
    <xf numFmtId="0" fontId="0" fillId="3" borderId="5" xfId="0" applyFill="1" applyBorder="1"/>
    <xf numFmtId="0" fontId="20" fillId="3" borderId="3" xfId="0" applyFont="1" applyFill="1" applyBorder="1" applyAlignment="1">
      <alignment horizontal="center" vertical="top" wrapText="1"/>
    </xf>
    <xf numFmtId="0" fontId="20" fillId="3" borderId="3" xfId="0" applyFont="1" applyFill="1" applyBorder="1"/>
    <xf numFmtId="0" fontId="43" fillId="3" borderId="3" xfId="0" applyFont="1" applyFill="1" applyBorder="1" applyAlignment="1">
      <alignment horizontal="center" vertical="top" wrapText="1"/>
    </xf>
    <xf numFmtId="0" fontId="20" fillId="3" borderId="13" xfId="0" applyFont="1" applyFill="1" applyBorder="1"/>
    <xf numFmtId="0" fontId="18" fillId="3" borderId="3" xfId="0" applyFont="1" applyFill="1" applyBorder="1" applyAlignment="1">
      <alignment horizontal="center" vertical="top" wrapText="1"/>
    </xf>
    <xf numFmtId="164" fontId="18" fillId="3" borderId="3" xfId="1" applyFont="1" applyFill="1" applyBorder="1" applyAlignment="1">
      <alignment horizontal="center" vertical="top" wrapText="1"/>
    </xf>
    <xf numFmtId="164" fontId="18" fillId="3" borderId="3" xfId="1" applyFont="1" applyFill="1" applyBorder="1"/>
    <xf numFmtId="14" fontId="43" fillId="3" borderId="3" xfId="0" applyNumberFormat="1" applyFont="1" applyFill="1" applyBorder="1"/>
    <xf numFmtId="164" fontId="43" fillId="3" borderId="3" xfId="1" applyFont="1" applyFill="1" applyBorder="1" applyAlignment="1">
      <alignment horizontal="center" vertical="top" wrapText="1"/>
    </xf>
    <xf numFmtId="0" fontId="17" fillId="3" borderId="3" xfId="0" applyFont="1" applyFill="1" applyBorder="1"/>
    <xf numFmtId="14" fontId="0" fillId="22" borderId="6" xfId="0" applyNumberFormat="1" applyFill="1" applyBorder="1"/>
    <xf numFmtId="0" fontId="43" fillId="22" borderId="9" xfId="0" applyFont="1" applyFill="1" applyBorder="1" applyAlignment="1">
      <alignment horizontal="center" vertical="top" wrapText="1"/>
    </xf>
    <xf numFmtId="0" fontId="43" fillId="22" borderId="9" xfId="0" applyFont="1" applyFill="1" applyBorder="1"/>
    <xf numFmtId="0" fontId="0" fillId="22" borderId="3" xfId="0" applyFill="1" applyBorder="1"/>
    <xf numFmtId="164" fontId="0" fillId="22" borderId="0" xfId="1" applyFont="1" applyFill="1"/>
    <xf numFmtId="0" fontId="20" fillId="22" borderId="9" xfId="0" applyFont="1" applyFill="1" applyBorder="1" applyAlignment="1">
      <alignment horizontal="center" vertical="top" wrapText="1"/>
    </xf>
    <xf numFmtId="0" fontId="20" fillId="22" borderId="3" xfId="0" applyFont="1" applyFill="1" applyBorder="1"/>
    <xf numFmtId="14" fontId="0" fillId="22" borderId="3" xfId="0" applyNumberFormat="1" applyFill="1" applyBorder="1"/>
    <xf numFmtId="0" fontId="18" fillId="22" borderId="3" xfId="0" applyFont="1" applyFill="1" applyBorder="1" applyAlignment="1">
      <alignment horizontal="center" vertical="top" wrapText="1"/>
    </xf>
    <xf numFmtId="164" fontId="18" fillId="22" borderId="3" xfId="1" applyFont="1" applyFill="1" applyBorder="1"/>
    <xf numFmtId="164" fontId="43" fillId="22" borderId="9" xfId="1" applyFont="1" applyFill="1" applyBorder="1" applyAlignment="1">
      <alignment horizontal="center" vertical="top" wrapText="1"/>
    </xf>
    <xf numFmtId="0" fontId="0" fillId="22" borderId="9" xfId="0" applyFill="1" applyBorder="1"/>
    <xf numFmtId="14" fontId="43" fillId="22" borderId="3" xfId="0" applyNumberFormat="1" applyFont="1" applyFill="1" applyBorder="1"/>
    <xf numFmtId="0" fontId="43" fillId="22" borderId="3" xfId="0" applyFont="1" applyFill="1" applyBorder="1" applyAlignment="1">
      <alignment horizontal="center" vertical="top" wrapText="1"/>
    </xf>
    <xf numFmtId="164" fontId="43" fillId="22" borderId="3" xfId="1" applyFont="1" applyFill="1" applyBorder="1" applyAlignment="1">
      <alignment horizontal="center" vertical="top" wrapText="1"/>
    </xf>
    <xf numFmtId="0" fontId="0" fillId="22" borderId="8" xfId="0" applyFill="1" applyBorder="1"/>
    <xf numFmtId="0" fontId="17" fillId="22" borderId="8" xfId="0" applyFont="1" applyFill="1" applyBorder="1"/>
    <xf numFmtId="0" fontId="43" fillId="0" borderId="9" xfId="0" applyFont="1" applyBorder="1"/>
    <xf numFmtId="0" fontId="43" fillId="3" borderId="3" xfId="0" applyFont="1" applyFill="1" applyBorder="1"/>
    <xf numFmtId="0" fontId="23" fillId="3" borderId="8" xfId="0" applyFont="1" applyFill="1" applyBorder="1"/>
    <xf numFmtId="0" fontId="0" fillId="3" borderId="8" xfId="0" applyFill="1" applyBorder="1"/>
    <xf numFmtId="14" fontId="43" fillId="3" borderId="9" xfId="0" applyNumberFormat="1" applyFont="1" applyFill="1" applyBorder="1"/>
    <xf numFmtId="0" fontId="43" fillId="3" borderId="9" xfId="0" applyFont="1" applyFill="1" applyBorder="1" applyAlignment="1">
      <alignment horizontal="center" vertical="top" wrapText="1"/>
    </xf>
    <xf numFmtId="164" fontId="43" fillId="3" borderId="9" xfId="1" applyFont="1" applyFill="1" applyBorder="1" applyAlignment="1">
      <alignment horizontal="center" vertical="top" wrapText="1"/>
    </xf>
    <xf numFmtId="164" fontId="17" fillId="9" borderId="3" xfId="1" applyFont="1" applyFill="1" applyBorder="1" applyAlignment="1">
      <alignment horizontal="center" vertical="top" wrapText="1"/>
    </xf>
    <xf numFmtId="0" fontId="17" fillId="9" borderId="3" xfId="0" applyFont="1" applyFill="1" applyBorder="1"/>
    <xf numFmtId="14" fontId="43" fillId="9" borderId="3" xfId="0" applyNumberFormat="1" applyFont="1" applyFill="1" applyBorder="1"/>
    <xf numFmtId="164" fontId="43" fillId="9" borderId="3" xfId="1" applyFont="1" applyFill="1" applyBorder="1" applyAlignment="1">
      <alignment horizontal="center" vertical="top" wrapText="1"/>
    </xf>
    <xf numFmtId="14" fontId="43" fillId="10" borderId="3" xfId="0" applyNumberFormat="1" applyFont="1" applyFill="1" applyBorder="1"/>
    <xf numFmtId="0" fontId="43" fillId="10" borderId="3" xfId="0" applyFont="1" applyFill="1" applyBorder="1" applyAlignment="1">
      <alignment horizontal="center" vertical="top" wrapText="1"/>
    </xf>
    <xf numFmtId="164" fontId="43" fillId="10" borderId="3" xfId="1" applyFont="1" applyFill="1" applyBorder="1" applyAlignment="1">
      <alignment horizontal="center" vertical="top" wrapText="1"/>
    </xf>
    <xf numFmtId="0" fontId="0" fillId="10" borderId="3" xfId="0" applyFill="1" applyBorder="1"/>
    <xf numFmtId="14" fontId="43" fillId="4" borderId="3" xfId="0" applyNumberFormat="1" applyFont="1" applyFill="1" applyBorder="1"/>
    <xf numFmtId="164" fontId="43" fillId="4" borderId="3" xfId="1" applyFont="1" applyFill="1" applyBorder="1" applyAlignment="1">
      <alignment horizontal="center" vertical="top" wrapText="1"/>
    </xf>
    <xf numFmtId="0" fontId="43" fillId="4" borderId="3" xfId="0" applyFont="1" applyFill="1" applyBorder="1"/>
    <xf numFmtId="0" fontId="20" fillId="23" borderId="3" xfId="0" applyFont="1" applyFill="1" applyBorder="1" applyAlignment="1">
      <alignment horizontal="center" vertical="top" wrapText="1"/>
    </xf>
    <xf numFmtId="0" fontId="0" fillId="23" borderId="3" xfId="0" applyFill="1" applyBorder="1"/>
    <xf numFmtId="0" fontId="43" fillId="23" borderId="3" xfId="0" applyFont="1" applyFill="1" applyBorder="1" applyAlignment="1">
      <alignment horizontal="center" vertical="top" wrapText="1"/>
    </xf>
    <xf numFmtId="0" fontId="43" fillId="23" borderId="3" xfId="0" applyFont="1" applyFill="1" applyBorder="1"/>
    <xf numFmtId="0" fontId="37" fillId="23" borderId="3" xfId="0" applyFont="1" applyFill="1" applyBorder="1" applyAlignment="1">
      <alignment horizontal="center" vertical="top" wrapText="1"/>
    </xf>
    <xf numFmtId="164" fontId="37" fillId="23" borderId="3" xfId="1" applyFont="1" applyFill="1" applyBorder="1"/>
    <xf numFmtId="0" fontId="36" fillId="23" borderId="3" xfId="0" applyFont="1" applyFill="1" applyBorder="1" applyAlignment="1">
      <alignment horizontal="center" vertical="top" wrapText="1"/>
    </xf>
    <xf numFmtId="14" fontId="43" fillId="23" borderId="3" xfId="0" applyNumberFormat="1" applyFont="1" applyFill="1" applyBorder="1"/>
    <xf numFmtId="164" fontId="43" fillId="23" borderId="3" xfId="1" applyFont="1" applyFill="1" applyBorder="1" applyAlignment="1">
      <alignment horizontal="center" vertical="top" wrapText="1"/>
    </xf>
    <xf numFmtId="14" fontId="0" fillId="23" borderId="3" xfId="0" applyNumberFormat="1" applyFill="1" applyBorder="1"/>
    <xf numFmtId="0" fontId="37" fillId="24" borderId="3" xfId="0" applyFont="1" applyFill="1" applyBorder="1" applyAlignment="1">
      <alignment horizontal="center" vertical="top" wrapText="1"/>
    </xf>
    <xf numFmtId="0" fontId="43" fillId="24" borderId="3" xfId="0" applyFont="1" applyFill="1" applyBorder="1"/>
    <xf numFmtId="0" fontId="0" fillId="24" borderId="3" xfId="0" applyFill="1" applyBorder="1"/>
    <xf numFmtId="0" fontId="43" fillId="24" borderId="3" xfId="0" applyFont="1" applyFill="1" applyBorder="1" applyAlignment="1">
      <alignment horizontal="center" vertical="top" wrapText="1"/>
    </xf>
    <xf numFmtId="164" fontId="43" fillId="24" borderId="3" xfId="1" applyFont="1" applyFill="1" applyBorder="1"/>
    <xf numFmtId="14" fontId="43" fillId="24" borderId="3" xfId="0" applyNumberFormat="1" applyFont="1" applyFill="1" applyBorder="1"/>
    <xf numFmtId="164" fontId="0" fillId="24" borderId="3" xfId="1" applyFont="1" applyFill="1" applyBorder="1"/>
    <xf numFmtId="164" fontId="0" fillId="23" borderId="3" xfId="1" applyFont="1" applyFill="1" applyBorder="1"/>
    <xf numFmtId="164" fontId="0" fillId="4" borderId="3" xfId="1" applyFont="1" applyFill="1" applyBorder="1"/>
    <xf numFmtId="164" fontId="0" fillId="10" borderId="3" xfId="1" applyFont="1" applyFill="1" applyBorder="1"/>
    <xf numFmtId="0" fontId="43" fillId="10" borderId="3" xfId="0" applyFont="1" applyFill="1" applyBorder="1"/>
    <xf numFmtId="0" fontId="0" fillId="3" borderId="21" xfId="0" applyFill="1" applyBorder="1"/>
    <xf numFmtId="164" fontId="0" fillId="0" borderId="0" xfId="1" applyFont="1" applyBorder="1"/>
    <xf numFmtId="164" fontId="0" fillId="24" borderId="0" xfId="0" applyNumberFormat="1" applyFill="1"/>
    <xf numFmtId="0" fontId="0" fillId="24" borderId="0" xfId="0" applyFill="1"/>
    <xf numFmtId="14" fontId="0" fillId="25" borderId="3" xfId="0" applyNumberFormat="1" applyFill="1" applyBorder="1"/>
    <xf numFmtId="0" fontId="43" fillId="25" borderId="3" xfId="0" applyFont="1" applyFill="1" applyBorder="1" applyAlignment="1">
      <alignment horizontal="center" vertical="top" wrapText="1"/>
    </xf>
    <xf numFmtId="164" fontId="43" fillId="25" borderId="3" xfId="1" applyFont="1" applyFill="1" applyBorder="1" applyAlignment="1">
      <alignment horizontal="center" vertical="top" wrapText="1"/>
    </xf>
    <xf numFmtId="164" fontId="43" fillId="25" borderId="3" xfId="1" applyFont="1" applyFill="1" applyBorder="1"/>
    <xf numFmtId="0" fontId="0" fillId="25" borderId="3" xfId="0" applyFill="1" applyBorder="1"/>
    <xf numFmtId="164" fontId="0" fillId="25" borderId="0" xfId="1" applyFont="1" applyFill="1"/>
    <xf numFmtId="14" fontId="43" fillId="25" borderId="3" xfId="0" applyNumberFormat="1" applyFont="1" applyFill="1" applyBorder="1"/>
    <xf numFmtId="0" fontId="43" fillId="25" borderId="3" xfId="0" applyFont="1" applyFill="1" applyBorder="1"/>
    <xf numFmtId="14" fontId="43" fillId="25" borderId="27" xfId="0" applyNumberFormat="1" applyFont="1" applyFill="1" applyBorder="1"/>
    <xf numFmtId="0" fontId="36" fillId="25" borderId="3" xfId="0" applyFont="1" applyFill="1" applyBorder="1" applyAlignment="1">
      <alignment horizontal="center" vertical="top" wrapText="1"/>
    </xf>
    <xf numFmtId="164" fontId="36" fillId="25" borderId="3" xfId="1" applyFont="1" applyFill="1" applyBorder="1"/>
    <xf numFmtId="0" fontId="43" fillId="25" borderId="9" xfId="0" applyFont="1" applyFill="1" applyBorder="1" applyAlignment="1">
      <alignment horizontal="center" vertical="top" wrapText="1"/>
    </xf>
    <xf numFmtId="0" fontId="43" fillId="25" borderId="9" xfId="0" applyFont="1" applyFill="1" applyBorder="1"/>
    <xf numFmtId="0" fontId="0" fillId="25" borderId="8" xfId="0" applyFill="1" applyBorder="1"/>
    <xf numFmtId="14" fontId="43" fillId="8" borderId="27" xfId="0" applyNumberFormat="1" applyFont="1" applyFill="1" applyBorder="1"/>
    <xf numFmtId="164" fontId="36" fillId="8" borderId="9" xfId="1" applyFont="1" applyFill="1" applyBorder="1" applyAlignment="1">
      <alignment horizontal="center" vertical="top" wrapText="1"/>
    </xf>
    <xf numFmtId="164" fontId="16" fillId="8" borderId="9" xfId="1" applyFont="1" applyFill="1" applyBorder="1"/>
    <xf numFmtId="0" fontId="37" fillId="7" borderId="46" xfId="0" applyFont="1" applyFill="1" applyBorder="1" applyAlignment="1">
      <alignment horizontal="center" vertical="top" wrapText="1"/>
    </xf>
    <xf numFmtId="164" fontId="34" fillId="0" borderId="8" xfId="0" applyNumberFormat="1" applyFont="1" applyBorder="1"/>
    <xf numFmtId="164" fontId="27" fillId="0" borderId="3" xfId="1" applyFont="1" applyBorder="1"/>
    <xf numFmtId="164" fontId="15" fillId="0" borderId="3" xfId="1" applyFont="1" applyBorder="1"/>
    <xf numFmtId="164" fontId="15" fillId="0" borderId="3" xfId="1" applyFont="1" applyFill="1" applyBorder="1"/>
    <xf numFmtId="164" fontId="0" fillId="9" borderId="4" xfId="0" applyNumberFormat="1" applyFill="1" applyBorder="1"/>
    <xf numFmtId="164" fontId="0" fillId="3" borderId="4" xfId="0" applyNumberFormat="1" applyFill="1" applyBorder="1"/>
    <xf numFmtId="164" fontId="0" fillId="26" borderId="3" xfId="1" applyFont="1" applyFill="1" applyBorder="1"/>
    <xf numFmtId="0" fontId="0" fillId="26" borderId="3" xfId="0" applyFill="1" applyBorder="1"/>
    <xf numFmtId="164" fontId="14" fillId="0" borderId="18" xfId="1" applyFont="1" applyFill="1" applyBorder="1" applyAlignment="1">
      <alignment horizontal="left"/>
    </xf>
    <xf numFmtId="164" fontId="37" fillId="0" borderId="35" xfId="1" applyFont="1" applyBorder="1"/>
    <xf numFmtId="164" fontId="43" fillId="0" borderId="18" xfId="1" applyFont="1" applyBorder="1"/>
    <xf numFmtId="164" fontId="43" fillId="0" borderId="18" xfId="1" applyFont="1" applyFill="1" applyBorder="1"/>
    <xf numFmtId="164" fontId="43" fillId="0" borderId="3" xfId="1" applyFont="1" applyFill="1" applyBorder="1" applyAlignment="1">
      <alignment horizontal="left"/>
    </xf>
    <xf numFmtId="14" fontId="43" fillId="18" borderId="27" xfId="0" applyNumberFormat="1" applyFont="1" applyFill="1" applyBorder="1"/>
    <xf numFmtId="0" fontId="16" fillId="18" borderId="3" xfId="0" applyFont="1" applyFill="1" applyBorder="1"/>
    <xf numFmtId="164" fontId="0" fillId="18" borderId="0" xfId="1" applyFont="1" applyFill="1"/>
    <xf numFmtId="164" fontId="37" fillId="18" borderId="3" xfId="1" applyFont="1" applyFill="1" applyBorder="1" applyAlignment="1">
      <alignment horizontal="center" vertical="top" wrapText="1"/>
    </xf>
    <xf numFmtId="164" fontId="16" fillId="18" borderId="3" xfId="1" applyFont="1" applyFill="1" applyBorder="1"/>
    <xf numFmtId="14" fontId="43" fillId="20" borderId="3" xfId="0" applyNumberFormat="1" applyFont="1" applyFill="1" applyBorder="1"/>
    <xf numFmtId="14" fontId="43" fillId="20" borderId="27" xfId="0" applyNumberFormat="1" applyFont="1" applyFill="1" applyBorder="1"/>
    <xf numFmtId="164" fontId="43" fillId="20" borderId="3" xfId="1" applyFont="1" applyFill="1" applyBorder="1"/>
    <xf numFmtId="0" fontId="37" fillId="20" borderId="3" xfId="0" applyFont="1" applyFill="1" applyBorder="1" applyAlignment="1">
      <alignment horizontal="center" vertical="top" wrapText="1"/>
    </xf>
    <xf numFmtId="0" fontId="16" fillId="20" borderId="3" xfId="0" applyFont="1" applyFill="1" applyBorder="1"/>
    <xf numFmtId="164" fontId="37" fillId="20" borderId="3" xfId="1" applyFont="1" applyFill="1" applyBorder="1"/>
    <xf numFmtId="0" fontId="36" fillId="20" borderId="3" xfId="0" applyFont="1" applyFill="1" applyBorder="1" applyAlignment="1">
      <alignment horizontal="center" vertical="top" wrapText="1"/>
    </xf>
    <xf numFmtId="0" fontId="14" fillId="20" borderId="3" xfId="0" applyFont="1" applyFill="1" applyBorder="1"/>
    <xf numFmtId="14" fontId="43" fillId="23" borderId="27" xfId="0" applyNumberFormat="1" applyFont="1" applyFill="1" applyBorder="1"/>
    <xf numFmtId="0" fontId="16" fillId="23" borderId="3" xfId="0" applyFont="1" applyFill="1" applyBorder="1"/>
    <xf numFmtId="14" fontId="43" fillId="9" borderId="27" xfId="0" applyNumberFormat="1" applyFont="1" applyFill="1" applyBorder="1"/>
    <xf numFmtId="164" fontId="36" fillId="9" borderId="3" xfId="1" applyFont="1" applyFill="1" applyBorder="1" applyAlignment="1">
      <alignment horizontal="center" vertical="top" wrapText="1"/>
    </xf>
    <xf numFmtId="164" fontId="16" fillId="9" borderId="3" xfId="1" applyFont="1" applyFill="1" applyBorder="1"/>
    <xf numFmtId="0" fontId="14" fillId="9" borderId="9" xfId="0" applyFont="1" applyFill="1" applyBorder="1"/>
    <xf numFmtId="14" fontId="0" fillId="27" borderId="6" xfId="0" applyNumberFormat="1" applyFill="1" applyBorder="1"/>
    <xf numFmtId="0" fontId="43" fillId="27" borderId="3" xfId="0" applyFont="1" applyFill="1" applyBorder="1" applyAlignment="1">
      <alignment horizontal="center" vertical="top" wrapText="1"/>
    </xf>
    <xf numFmtId="0" fontId="43" fillId="27" borderId="3" xfId="0" applyFont="1" applyFill="1" applyBorder="1"/>
    <xf numFmtId="0" fontId="0" fillId="27" borderId="3" xfId="0" applyFill="1" applyBorder="1"/>
    <xf numFmtId="164" fontId="0" fillId="27" borderId="0" xfId="1" applyFont="1" applyFill="1"/>
    <xf numFmtId="164" fontId="0" fillId="26" borderId="3" xfId="0" applyNumberFormat="1" applyFill="1" applyBorder="1"/>
    <xf numFmtId="14" fontId="0" fillId="5" borderId="6" xfId="0" applyNumberFormat="1" applyFill="1" applyBorder="1"/>
    <xf numFmtId="0" fontId="43" fillId="5" borderId="9" xfId="0" applyFont="1" applyFill="1" applyBorder="1" applyAlignment="1">
      <alignment horizontal="center" vertical="top" wrapText="1"/>
    </xf>
    <xf numFmtId="0" fontId="43" fillId="5" borderId="9" xfId="0" applyFont="1" applyFill="1" applyBorder="1"/>
    <xf numFmtId="164" fontId="43" fillId="5" borderId="9" xfId="1" applyFont="1" applyFill="1" applyBorder="1"/>
    <xf numFmtId="164" fontId="43" fillId="5" borderId="3" xfId="1" applyFont="1" applyFill="1" applyBorder="1"/>
    <xf numFmtId="0" fontId="43" fillId="5" borderId="3" xfId="0" applyFont="1" applyFill="1" applyBorder="1" applyAlignment="1">
      <alignment horizontal="center" vertical="top" wrapText="1"/>
    </xf>
    <xf numFmtId="0" fontId="43" fillId="5" borderId="3" xfId="0" applyFont="1" applyFill="1" applyBorder="1"/>
    <xf numFmtId="0" fontId="0" fillId="0" borderId="0" xfId="0" quotePrefix="1"/>
    <xf numFmtId="164" fontId="12" fillId="0" borderId="3" xfId="1" applyFont="1" applyBorder="1"/>
    <xf numFmtId="164" fontId="12" fillId="0" borderId="3" xfId="1" applyFont="1" applyFill="1" applyBorder="1"/>
    <xf numFmtId="164" fontId="12" fillId="0" borderId="3" xfId="1" applyFont="1" applyFill="1" applyBorder="1" applyAlignment="1">
      <alignment horizontal="left"/>
    </xf>
    <xf numFmtId="164" fontId="36" fillId="0" borderId="3" xfId="1" applyFont="1" applyBorder="1"/>
    <xf numFmtId="14" fontId="11" fillId="0" borderId="3" xfId="0" applyNumberFormat="1" applyFont="1" applyBorder="1"/>
    <xf numFmtId="14" fontId="13" fillId="29" borderId="9" xfId="0" applyNumberFormat="1" applyFont="1" applyFill="1" applyBorder="1"/>
    <xf numFmtId="0" fontId="37" fillId="29" borderId="9" xfId="0" applyFont="1" applyFill="1" applyBorder="1" applyAlignment="1">
      <alignment horizontal="center" vertical="top" wrapText="1"/>
    </xf>
    <xf numFmtId="0" fontId="14" fillId="29" borderId="13" xfId="0" applyFont="1" applyFill="1" applyBorder="1"/>
    <xf numFmtId="0" fontId="0" fillId="29" borderId="3" xfId="0" applyFill="1" applyBorder="1"/>
    <xf numFmtId="14" fontId="13" fillId="29" borderId="3" xfId="0" applyNumberFormat="1" applyFont="1" applyFill="1" applyBorder="1"/>
    <xf numFmtId="0" fontId="37" fillId="29" borderId="3" xfId="0" applyFont="1" applyFill="1" applyBorder="1" applyAlignment="1">
      <alignment horizontal="center" vertical="top" wrapText="1"/>
    </xf>
    <xf numFmtId="0" fontId="43" fillId="29" borderId="13" xfId="0" applyFont="1" applyFill="1" applyBorder="1"/>
    <xf numFmtId="0" fontId="36" fillId="29" borderId="3" xfId="0" applyFont="1" applyFill="1" applyBorder="1" applyAlignment="1">
      <alignment horizontal="center" vertical="top" wrapText="1"/>
    </xf>
    <xf numFmtId="14" fontId="13" fillId="9" borderId="3" xfId="0" applyNumberFormat="1" applyFont="1" applyFill="1" applyBorder="1"/>
    <xf numFmtId="0" fontId="43" fillId="9" borderId="13" xfId="0" applyFont="1" applyFill="1" applyBorder="1"/>
    <xf numFmtId="14" fontId="0" fillId="19" borderId="6" xfId="0" applyNumberFormat="1" applyFill="1" applyBorder="1"/>
    <xf numFmtId="0" fontId="36" fillId="19" borderId="9" xfId="0" applyFont="1" applyFill="1" applyBorder="1" applyAlignment="1">
      <alignment horizontal="center" vertical="top" wrapText="1"/>
    </xf>
    <xf numFmtId="0" fontId="43" fillId="19" borderId="9" xfId="0" applyFont="1" applyFill="1" applyBorder="1"/>
    <xf numFmtId="0" fontId="43" fillId="19" borderId="3" xfId="0" applyFont="1" applyFill="1" applyBorder="1"/>
    <xf numFmtId="14" fontId="13" fillId="19" borderId="3" xfId="0" applyNumberFormat="1" applyFont="1" applyFill="1" applyBorder="1"/>
    <xf numFmtId="0" fontId="37" fillId="19" borderId="3" xfId="0" applyFont="1" applyFill="1" applyBorder="1" applyAlignment="1">
      <alignment horizontal="center" vertical="top" wrapText="1"/>
    </xf>
    <xf numFmtId="0" fontId="43" fillId="19" borderId="13" xfId="0" applyFont="1" applyFill="1" applyBorder="1"/>
    <xf numFmtId="0" fontId="47" fillId="19" borderId="3" xfId="0" applyFont="1" applyFill="1" applyBorder="1" applyAlignment="1">
      <alignment horizontal="center" vertical="top" wrapText="1"/>
    </xf>
    <xf numFmtId="0" fontId="36" fillId="19" borderId="3" xfId="0" applyFont="1" applyFill="1" applyBorder="1" applyAlignment="1">
      <alignment horizontal="center" vertical="top" wrapText="1"/>
    </xf>
    <xf numFmtId="0" fontId="14" fillId="19" borderId="3" xfId="0" applyFont="1" applyFill="1" applyBorder="1"/>
    <xf numFmtId="164" fontId="37" fillId="19" borderId="3" xfId="1" applyFont="1" applyFill="1" applyBorder="1"/>
    <xf numFmtId="0" fontId="14" fillId="19" borderId="13" xfId="0" applyFont="1" applyFill="1" applyBorder="1"/>
    <xf numFmtId="14" fontId="13" fillId="19" borderId="6" xfId="0" applyNumberFormat="1" applyFont="1" applyFill="1" applyBorder="1"/>
    <xf numFmtId="14" fontId="0" fillId="16" borderId="6" xfId="0" applyNumberFormat="1" applyFill="1" applyBorder="1"/>
    <xf numFmtId="14" fontId="0" fillId="16" borderId="20" xfId="0" applyNumberFormat="1" applyFill="1" applyBorder="1"/>
    <xf numFmtId="0" fontId="43" fillId="16" borderId="9" xfId="0" applyFont="1" applyFill="1" applyBorder="1" applyAlignment="1">
      <alignment horizontal="center" vertical="top" wrapText="1"/>
    </xf>
    <xf numFmtId="14" fontId="13" fillId="16" borderId="3" xfId="0" applyNumberFormat="1" applyFont="1" applyFill="1" applyBorder="1"/>
    <xf numFmtId="0" fontId="43" fillId="16" borderId="13" xfId="0" applyFont="1" applyFill="1" applyBorder="1"/>
    <xf numFmtId="0" fontId="14" fillId="16" borderId="13" xfId="0" applyFont="1" applyFill="1" applyBorder="1"/>
    <xf numFmtId="14" fontId="13" fillId="16" borderId="6" xfId="0" applyNumberFormat="1" applyFont="1" applyFill="1" applyBorder="1"/>
    <xf numFmtId="0" fontId="43" fillId="16" borderId="9" xfId="0" applyFont="1" applyFill="1" applyBorder="1"/>
    <xf numFmtId="14" fontId="13" fillId="27" borderId="6" xfId="0" applyNumberFormat="1" applyFont="1" applyFill="1" applyBorder="1"/>
    <xf numFmtId="0" fontId="36" fillId="27" borderId="3" xfId="0" applyFont="1" applyFill="1" applyBorder="1" applyAlignment="1">
      <alignment horizontal="center" vertical="top" wrapText="1"/>
    </xf>
    <xf numFmtId="0" fontId="11" fillId="27" borderId="3" xfId="0" applyFont="1" applyFill="1" applyBorder="1"/>
    <xf numFmtId="0" fontId="0" fillId="27" borderId="47" xfId="0" applyFill="1" applyBorder="1" applyAlignment="1">
      <alignment vertical="center"/>
    </xf>
    <xf numFmtId="0" fontId="0" fillId="27" borderId="0" xfId="0" applyFill="1"/>
    <xf numFmtId="14" fontId="43" fillId="4" borderId="27" xfId="0" applyNumberFormat="1" applyFont="1" applyFill="1" applyBorder="1"/>
    <xf numFmtId="0" fontId="37" fillId="4" borderId="3" xfId="0" applyFont="1" applyFill="1" applyBorder="1" applyAlignment="1">
      <alignment horizontal="center" vertical="top" wrapText="1"/>
    </xf>
    <xf numFmtId="164" fontId="37" fillId="4" borderId="3" xfId="1" applyFont="1" applyFill="1" applyBorder="1"/>
    <xf numFmtId="14" fontId="13" fillId="4" borderId="3" xfId="0" applyNumberFormat="1" applyFont="1" applyFill="1" applyBorder="1"/>
    <xf numFmtId="0" fontId="14" fillId="4" borderId="13" xfId="0" applyFont="1" applyFill="1" applyBorder="1"/>
    <xf numFmtId="14" fontId="13" fillId="4" borderId="6" xfId="0" applyNumberFormat="1" applyFont="1" applyFill="1" applyBorder="1"/>
    <xf numFmtId="0" fontId="11" fillId="4" borderId="3" xfId="0" applyFont="1" applyFill="1" applyBorder="1"/>
    <xf numFmtId="164" fontId="37" fillId="0" borderId="35" xfId="1" applyFont="1" applyFill="1" applyBorder="1"/>
    <xf numFmtId="0" fontId="0" fillId="19" borderId="9" xfId="0" applyFill="1" applyBorder="1"/>
    <xf numFmtId="0" fontId="11" fillId="19" borderId="3" xfId="0" applyFont="1" applyFill="1" applyBorder="1"/>
    <xf numFmtId="0" fontId="0" fillId="19" borderId="48" xfId="0" applyFill="1" applyBorder="1" applyAlignment="1">
      <alignment vertical="center"/>
    </xf>
    <xf numFmtId="14" fontId="13" fillId="20" borderId="3" xfId="0" applyNumberFormat="1" applyFont="1" applyFill="1" applyBorder="1"/>
    <xf numFmtId="0" fontId="43" fillId="20" borderId="13" xfId="0" applyFont="1" applyFill="1" applyBorder="1"/>
    <xf numFmtId="14" fontId="11" fillId="20" borderId="3" xfId="0" applyNumberFormat="1" applyFont="1" applyFill="1" applyBorder="1"/>
    <xf numFmtId="0" fontId="11" fillId="20" borderId="3" xfId="0" applyFont="1" applyFill="1" applyBorder="1"/>
    <xf numFmtId="0" fontId="0" fillId="20" borderId="5" xfId="0" applyFill="1" applyBorder="1"/>
    <xf numFmtId="14" fontId="11" fillId="17" borderId="3" xfId="0" applyNumberFormat="1" applyFont="1" applyFill="1" applyBorder="1"/>
    <xf numFmtId="0" fontId="37" fillId="17" borderId="9" xfId="0" applyFont="1" applyFill="1" applyBorder="1" applyAlignment="1">
      <alignment horizontal="center" vertical="top" wrapText="1"/>
    </xf>
    <xf numFmtId="0" fontId="11" fillId="17" borderId="9" xfId="0" applyFont="1" applyFill="1" applyBorder="1"/>
    <xf numFmtId="0" fontId="0" fillId="17" borderId="13" xfId="0" applyFill="1" applyBorder="1"/>
    <xf numFmtId="0" fontId="0" fillId="17" borderId="8" xfId="0" applyFill="1" applyBorder="1"/>
    <xf numFmtId="0" fontId="0" fillId="17" borderId="27" xfId="0" applyFill="1" applyBorder="1"/>
    <xf numFmtId="164" fontId="11" fillId="26" borderId="0" xfId="0" applyNumberFormat="1" applyFont="1" applyFill="1" applyAlignment="1">
      <alignment horizontal="right"/>
    </xf>
    <xf numFmtId="14" fontId="13" fillId="17" borderId="6" xfId="0" applyNumberFormat="1" applyFont="1" applyFill="1" applyBorder="1"/>
    <xf numFmtId="0" fontId="0" fillId="17" borderId="47" xfId="0" applyFill="1" applyBorder="1" applyAlignment="1">
      <alignment vertical="center"/>
    </xf>
    <xf numFmtId="0" fontId="11" fillId="17" borderId="3" xfId="0" applyFont="1" applyFill="1" applyBorder="1"/>
    <xf numFmtId="14" fontId="13" fillId="17" borderId="3" xfId="0" applyNumberFormat="1" applyFont="1" applyFill="1" applyBorder="1"/>
    <xf numFmtId="0" fontId="14" fillId="17" borderId="3" xfId="0" applyFont="1" applyFill="1" applyBorder="1"/>
    <xf numFmtId="0" fontId="0" fillId="9" borderId="3" xfId="0" applyFill="1" applyBorder="1" applyAlignment="1">
      <alignment vertical="center"/>
    </xf>
    <xf numFmtId="14" fontId="11" fillId="24" borderId="3" xfId="0" applyNumberFormat="1" applyFont="1" applyFill="1" applyBorder="1"/>
    <xf numFmtId="0" fontId="11" fillId="24" borderId="3" xfId="0" applyFont="1" applyFill="1" applyBorder="1"/>
    <xf numFmtId="0" fontId="0" fillId="24" borderId="5" xfId="0" applyFill="1" applyBorder="1"/>
    <xf numFmtId="14" fontId="11" fillId="24" borderId="6" xfId="0" applyNumberFormat="1" applyFont="1" applyFill="1" applyBorder="1"/>
    <xf numFmtId="0" fontId="37" fillId="24" borderId="9" xfId="0" applyFont="1" applyFill="1" applyBorder="1" applyAlignment="1">
      <alignment horizontal="center" vertical="top" wrapText="1"/>
    </xf>
    <xf numFmtId="0" fontId="11" fillId="24" borderId="9" xfId="0" applyFont="1" applyFill="1" applyBorder="1"/>
    <xf numFmtId="0" fontId="43" fillId="0" borderId="3" xfId="0" applyFont="1" applyBorder="1" applyAlignment="1">
      <alignment horizontal="center" vertical="top" wrapText="1"/>
    </xf>
    <xf numFmtId="164" fontId="43" fillId="0" borderId="3" xfId="1" applyFont="1" applyFill="1" applyBorder="1" applyAlignment="1">
      <alignment horizontal="center" vertical="top" wrapText="1"/>
    </xf>
    <xf numFmtId="164" fontId="43" fillId="0" borderId="9" xfId="1" applyFont="1" applyFill="1" applyBorder="1" applyAlignment="1">
      <alignment horizontal="center" vertical="top" wrapText="1"/>
    </xf>
    <xf numFmtId="164" fontId="43" fillId="0" borderId="0" xfId="1" applyFont="1" applyFill="1"/>
    <xf numFmtId="164" fontId="43" fillId="0" borderId="49" xfId="1" applyFont="1" applyBorder="1"/>
    <xf numFmtId="164" fontId="43" fillId="0" borderId="21" xfId="1" applyFont="1" applyBorder="1"/>
    <xf numFmtId="164" fontId="43" fillId="0" borderId="21" xfId="1" applyFont="1" applyFill="1" applyBorder="1"/>
    <xf numFmtId="164" fontId="34" fillId="3" borderId="4" xfId="0" applyNumberFormat="1" applyFont="1" applyFill="1" applyBorder="1"/>
    <xf numFmtId="14" fontId="11" fillId="10" borderId="6" xfId="0" applyNumberFormat="1" applyFont="1" applyFill="1" applyBorder="1"/>
    <xf numFmtId="0" fontId="43" fillId="10" borderId="9" xfId="0" applyFont="1" applyFill="1" applyBorder="1" applyAlignment="1">
      <alignment horizontal="center" vertical="top" wrapText="1"/>
    </xf>
    <xf numFmtId="0" fontId="43" fillId="10" borderId="9" xfId="0" applyFont="1" applyFill="1" applyBorder="1"/>
    <xf numFmtId="164" fontId="0" fillId="10" borderId="0" xfId="1" applyFont="1" applyFill="1"/>
    <xf numFmtId="0" fontId="37" fillId="10" borderId="9" xfId="0" applyFont="1" applyFill="1" applyBorder="1" applyAlignment="1">
      <alignment horizontal="center" vertical="top" wrapText="1"/>
    </xf>
    <xf numFmtId="0" fontId="0" fillId="10" borderId="13" xfId="0" applyFill="1" applyBorder="1"/>
    <xf numFmtId="164" fontId="0" fillId="19" borderId="0" xfId="1" applyFont="1" applyFill="1"/>
    <xf numFmtId="14" fontId="11" fillId="19" borderId="6" xfId="0" applyNumberFormat="1" applyFont="1" applyFill="1" applyBorder="1"/>
    <xf numFmtId="164" fontId="36" fillId="19" borderId="3" xfId="1" applyFont="1" applyFill="1" applyBorder="1"/>
    <xf numFmtId="14" fontId="11" fillId="19" borderId="20" xfId="0" applyNumberFormat="1" applyFont="1" applyFill="1" applyBorder="1"/>
    <xf numFmtId="0" fontId="10" fillId="19" borderId="3" xfId="0" applyFont="1" applyFill="1" applyBorder="1"/>
    <xf numFmtId="164" fontId="36" fillId="19" borderId="3" xfId="1" applyFont="1" applyFill="1" applyBorder="1" applyAlignment="1">
      <alignment horizontal="center" vertical="top" wrapText="1"/>
    </xf>
    <xf numFmtId="14" fontId="11" fillId="9" borderId="3" xfId="0" applyNumberFormat="1" applyFont="1" applyFill="1" applyBorder="1"/>
    <xf numFmtId="14" fontId="11" fillId="9" borderId="6" xfId="0" applyNumberFormat="1" applyFont="1" applyFill="1" applyBorder="1"/>
    <xf numFmtId="0" fontId="43" fillId="9" borderId="26" xfId="0" applyFont="1" applyFill="1" applyBorder="1"/>
    <xf numFmtId="0" fontId="43" fillId="9" borderId="5" xfId="0" applyFont="1" applyFill="1" applyBorder="1"/>
    <xf numFmtId="14" fontId="11" fillId="11" borderId="3" xfId="0" applyNumberFormat="1" applyFont="1" applyFill="1" applyBorder="1"/>
    <xf numFmtId="0" fontId="36" fillId="11" borderId="9" xfId="0" applyFont="1" applyFill="1" applyBorder="1" applyAlignment="1">
      <alignment horizontal="center" vertical="top" wrapText="1"/>
    </xf>
    <xf numFmtId="0" fontId="0" fillId="11" borderId="0" xfId="0" applyFill="1"/>
    <xf numFmtId="0" fontId="0" fillId="11" borderId="13" xfId="0" applyFill="1" applyBorder="1"/>
    <xf numFmtId="0" fontId="0" fillId="11" borderId="8" xfId="0" applyFill="1" applyBorder="1"/>
    <xf numFmtId="0" fontId="37" fillId="11" borderId="3" xfId="0" applyFont="1" applyFill="1" applyBorder="1" applyAlignment="1">
      <alignment horizontal="center" vertical="top" wrapText="1"/>
    </xf>
    <xf numFmtId="0" fontId="43" fillId="11" borderId="26" xfId="0" applyFont="1" applyFill="1" applyBorder="1"/>
    <xf numFmtId="0" fontId="43" fillId="11" borderId="5" xfId="0" applyFont="1" applyFill="1" applyBorder="1"/>
    <xf numFmtId="0" fontId="43" fillId="11" borderId="3" xfId="0" applyFont="1" applyFill="1" applyBorder="1"/>
    <xf numFmtId="164" fontId="0" fillId="11" borderId="0" xfId="1" applyFont="1" applyFill="1"/>
    <xf numFmtId="14" fontId="11" fillId="11" borderId="6" xfId="0" applyNumberFormat="1" applyFont="1" applyFill="1" applyBorder="1"/>
    <xf numFmtId="0" fontId="43" fillId="11" borderId="9" xfId="0" applyFont="1" applyFill="1" applyBorder="1" applyAlignment="1">
      <alignment horizontal="center" vertical="top" wrapText="1"/>
    </xf>
    <xf numFmtId="164" fontId="43" fillId="11" borderId="3" xfId="1" applyFont="1" applyFill="1" applyBorder="1"/>
    <xf numFmtId="0" fontId="0" fillId="11" borderId="5" xfId="0" applyFill="1" applyBorder="1"/>
    <xf numFmtId="0" fontId="0" fillId="11" borderId="3" xfId="0" applyFill="1" applyBorder="1"/>
    <xf numFmtId="0" fontId="43" fillId="11" borderId="3" xfId="0" applyFont="1" applyFill="1" applyBorder="1" applyAlignment="1">
      <alignment horizontal="center" vertical="top" wrapText="1"/>
    </xf>
    <xf numFmtId="164" fontId="34" fillId="11" borderId="4" xfId="0" applyNumberFormat="1" applyFont="1" applyFill="1" applyBorder="1" applyAlignment="1">
      <alignment horizontal="right"/>
    </xf>
    <xf numFmtId="0" fontId="0" fillId="19" borderId="3" xfId="0" applyFill="1" applyBorder="1" applyAlignment="1">
      <alignment vertical="center"/>
    </xf>
    <xf numFmtId="0" fontId="0" fillId="19" borderId="13" xfId="0" applyFill="1" applyBorder="1"/>
    <xf numFmtId="0" fontId="0" fillId="19" borderId="8" xfId="0" applyFill="1" applyBorder="1"/>
    <xf numFmtId="14" fontId="11" fillId="17" borderId="6" xfId="0" applyNumberFormat="1" applyFont="1" applyFill="1" applyBorder="1"/>
    <xf numFmtId="0" fontId="0" fillId="17" borderId="37" xfId="0" applyFill="1" applyBorder="1"/>
    <xf numFmtId="14" fontId="11" fillId="30" borderId="3" xfId="0" applyNumberFormat="1" applyFont="1" applyFill="1" applyBorder="1"/>
    <xf numFmtId="0" fontId="43" fillId="30" borderId="9" xfId="0" applyFont="1" applyFill="1" applyBorder="1" applyAlignment="1">
      <alignment horizontal="center" vertical="top" wrapText="1"/>
    </xf>
    <xf numFmtId="0" fontId="43" fillId="30" borderId="6" xfId="0" applyFont="1" applyFill="1" applyBorder="1"/>
    <xf numFmtId="0" fontId="43" fillId="30" borderId="5" xfId="0" applyFont="1" applyFill="1" applyBorder="1"/>
    <xf numFmtId="0" fontId="43" fillId="30" borderId="3" xfId="0" applyFont="1" applyFill="1" applyBorder="1"/>
    <xf numFmtId="164" fontId="0" fillId="30" borderId="0" xfId="1" applyFont="1" applyFill="1"/>
    <xf numFmtId="14" fontId="11" fillId="30" borderId="6" xfId="0" applyNumberFormat="1" applyFont="1" applyFill="1" applyBorder="1"/>
    <xf numFmtId="0" fontId="43" fillId="30" borderId="3" xfId="0" applyFont="1" applyFill="1" applyBorder="1" applyAlignment="1">
      <alignment horizontal="center" vertical="top" wrapText="1"/>
    </xf>
    <xf numFmtId="0" fontId="0" fillId="30" borderId="5" xfId="0" applyFill="1" applyBorder="1"/>
    <xf numFmtId="164" fontId="36" fillId="30" borderId="3" xfId="1" applyFont="1" applyFill="1" applyBorder="1"/>
    <xf numFmtId="0" fontId="0" fillId="30" borderId="3" xfId="0" applyFill="1" applyBorder="1"/>
    <xf numFmtId="164" fontId="43" fillId="30" borderId="3" xfId="1" applyFont="1" applyFill="1" applyBorder="1"/>
    <xf numFmtId="14" fontId="11" fillId="18" borderId="6" xfId="0" applyNumberFormat="1" applyFont="1" applyFill="1" applyBorder="1"/>
    <xf numFmtId="0" fontId="0" fillId="18" borderId="5" xfId="0" applyFill="1" applyBorder="1"/>
    <xf numFmtId="0" fontId="0" fillId="18" borderId="37" xfId="0" applyFill="1" applyBorder="1"/>
    <xf numFmtId="164" fontId="0" fillId="8" borderId="0" xfId="0" applyNumberFormat="1" applyFill="1"/>
    <xf numFmtId="164" fontId="34" fillId="8" borderId="2" xfId="1" applyFont="1" applyFill="1" applyBorder="1" applyAlignment="1">
      <alignment horizontal="center" vertical="center"/>
    </xf>
    <xf numFmtId="164" fontId="34" fillId="8" borderId="22" xfId="1" applyFont="1" applyFill="1" applyBorder="1" applyAlignment="1">
      <alignment horizontal="center" vertical="center"/>
    </xf>
    <xf numFmtId="164" fontId="43" fillId="0" borderId="6" xfId="1" applyFont="1" applyFill="1" applyBorder="1" applyAlignment="1">
      <alignment horizontal="left"/>
    </xf>
    <xf numFmtId="164" fontId="24" fillId="0" borderId="20" xfId="1" applyFont="1" applyFill="1" applyBorder="1" applyAlignment="1">
      <alignment horizontal="left"/>
    </xf>
    <xf numFmtId="9" fontId="34" fillId="8" borderId="0" xfId="0" applyNumberFormat="1" applyFont="1" applyFill="1" applyAlignment="1">
      <alignment horizontal="center"/>
    </xf>
    <xf numFmtId="164" fontId="12" fillId="0" borderId="20" xfId="1" applyFont="1" applyFill="1" applyBorder="1" applyAlignment="1">
      <alignment horizontal="left"/>
    </xf>
    <xf numFmtId="164" fontId="0" fillId="0" borderId="21" xfId="1" applyFont="1" applyFill="1" applyBorder="1" applyAlignment="1">
      <alignment horizontal="left"/>
    </xf>
    <xf numFmtId="14" fontId="11" fillId="0" borderId="0" xfId="0" applyNumberFormat="1" applyFont="1"/>
    <xf numFmtId="0" fontId="36" fillId="0" borderId="0" xfId="0" applyFont="1" applyAlignment="1">
      <alignment horizontal="center" vertical="top" wrapText="1"/>
    </xf>
    <xf numFmtId="14" fontId="11" fillId="4" borderId="6" xfId="0" applyNumberFormat="1" applyFont="1" applyFill="1" applyBorder="1"/>
    <xf numFmtId="164" fontId="0" fillId="4" borderId="0" xfId="1" applyFont="1" applyFill="1"/>
    <xf numFmtId="164" fontId="37" fillId="30" borderId="0" xfId="1" applyFont="1" applyFill="1"/>
    <xf numFmtId="0" fontId="0" fillId="30" borderId="0" xfId="0" applyFill="1"/>
    <xf numFmtId="0" fontId="48" fillId="30" borderId="24" xfId="0" applyFont="1" applyFill="1" applyBorder="1" applyAlignment="1">
      <alignment horizontal="center" vertical="top" wrapText="1"/>
    </xf>
    <xf numFmtId="14" fontId="11" fillId="31" borderId="3" xfId="0" applyNumberFormat="1" applyFont="1" applyFill="1" applyBorder="1"/>
    <xf numFmtId="0" fontId="37" fillId="31" borderId="3" xfId="0" applyFont="1" applyFill="1" applyBorder="1" applyAlignment="1">
      <alignment horizontal="center" vertical="top" wrapText="1"/>
    </xf>
    <xf numFmtId="164" fontId="37" fillId="31" borderId="3" xfId="1" applyFont="1" applyFill="1" applyBorder="1"/>
    <xf numFmtId="0" fontId="43" fillId="31" borderId="3" xfId="0" applyFont="1" applyFill="1" applyBorder="1"/>
    <xf numFmtId="164" fontId="0" fillId="31" borderId="0" xfId="1" applyFont="1" applyFill="1"/>
    <xf numFmtId="14" fontId="11" fillId="31" borderId="6" xfId="0" applyNumberFormat="1" applyFont="1" applyFill="1" applyBorder="1"/>
    <xf numFmtId="0" fontId="43" fillId="31" borderId="3" xfId="0" applyFont="1" applyFill="1" applyBorder="1" applyAlignment="1">
      <alignment horizontal="center" vertical="top" wrapText="1"/>
    </xf>
    <xf numFmtId="0" fontId="0" fillId="31" borderId="3" xfId="0" applyFill="1" applyBorder="1"/>
    <xf numFmtId="164" fontId="43" fillId="31" borderId="3" xfId="1" applyFont="1" applyFill="1" applyBorder="1"/>
    <xf numFmtId="164" fontId="43" fillId="31" borderId="5" xfId="1" applyFont="1" applyFill="1" applyBorder="1" applyAlignment="1">
      <alignment horizontal="right"/>
    </xf>
    <xf numFmtId="0" fontId="43" fillId="31" borderId="9" xfId="0" applyFont="1" applyFill="1" applyBorder="1" applyAlignment="1">
      <alignment horizontal="center" vertical="top" wrapText="1"/>
    </xf>
    <xf numFmtId="164" fontId="43" fillId="31" borderId="9" xfId="1" applyFont="1" applyFill="1" applyBorder="1"/>
    <xf numFmtId="14" fontId="11" fillId="20" borderId="6" xfId="0" applyNumberFormat="1" applyFont="1" applyFill="1" applyBorder="1"/>
    <xf numFmtId="0" fontId="43" fillId="20" borderId="9" xfId="0" applyFont="1" applyFill="1" applyBorder="1" applyAlignment="1">
      <alignment horizontal="center" vertical="top" wrapText="1"/>
    </xf>
    <xf numFmtId="164" fontId="0" fillId="20" borderId="0" xfId="1" applyFont="1" applyFill="1"/>
    <xf numFmtId="164" fontId="43" fillId="20" borderId="9" xfId="1" applyFont="1" applyFill="1" applyBorder="1"/>
    <xf numFmtId="164" fontId="9" fillId="20" borderId="0" xfId="1" applyFont="1" applyFill="1"/>
    <xf numFmtId="0" fontId="37" fillId="20" borderId="3" xfId="0" applyFont="1" applyFill="1" applyBorder="1"/>
    <xf numFmtId="14" fontId="11" fillId="25" borderId="6" xfId="0" applyNumberFormat="1" applyFont="1" applyFill="1" applyBorder="1"/>
    <xf numFmtId="14" fontId="11" fillId="5" borderId="6" xfId="0" applyNumberFormat="1" applyFont="1" applyFill="1" applyBorder="1"/>
    <xf numFmtId="164" fontId="0" fillId="5" borderId="0" xfId="1" applyFont="1" applyFill="1"/>
    <xf numFmtId="0" fontId="37" fillId="5" borderId="3" xfId="0" applyFont="1" applyFill="1" applyBorder="1" applyAlignment="1">
      <alignment horizontal="center" vertical="top" wrapText="1"/>
    </xf>
    <xf numFmtId="164" fontId="37" fillId="5" borderId="3" xfId="1" applyFont="1" applyFill="1" applyBorder="1"/>
    <xf numFmtId="14" fontId="11" fillId="23" borderId="6" xfId="0" applyNumberFormat="1" applyFont="1" applyFill="1" applyBorder="1"/>
    <xf numFmtId="164" fontId="0" fillId="23" borderId="0" xfId="1" applyFont="1" applyFill="1"/>
    <xf numFmtId="14" fontId="11" fillId="21" borderId="6" xfId="0" applyNumberFormat="1" applyFont="1" applyFill="1" applyBorder="1"/>
    <xf numFmtId="164" fontId="43" fillId="21" borderId="5" xfId="1" applyFont="1" applyFill="1" applyBorder="1"/>
    <xf numFmtId="0" fontId="0" fillId="21" borderId="0" xfId="0" applyFill="1"/>
    <xf numFmtId="164" fontId="37" fillId="21" borderId="3" xfId="1" applyFont="1" applyFill="1" applyBorder="1"/>
    <xf numFmtId="164" fontId="37" fillId="0" borderId="9" xfId="1" applyFont="1" applyBorder="1"/>
    <xf numFmtId="0" fontId="0" fillId="9" borderId="0" xfId="0" applyFill="1"/>
    <xf numFmtId="14" fontId="11" fillId="25" borderId="3" xfId="0" applyNumberFormat="1" applyFont="1" applyFill="1" applyBorder="1"/>
    <xf numFmtId="0" fontId="37" fillId="25" borderId="9" xfId="0" applyFont="1" applyFill="1" applyBorder="1" applyAlignment="1">
      <alignment horizontal="center" vertical="top" wrapText="1"/>
    </xf>
    <xf numFmtId="164" fontId="37" fillId="25" borderId="3" xfId="1" applyFont="1" applyFill="1" applyBorder="1"/>
    <xf numFmtId="0" fontId="0" fillId="25" borderId="0" xfId="0" applyFill="1"/>
    <xf numFmtId="0" fontId="37" fillId="25" borderId="3" xfId="0" applyFont="1" applyFill="1" applyBorder="1" applyAlignment="1">
      <alignment horizontal="center" vertical="top" wrapText="1"/>
    </xf>
    <xf numFmtId="0" fontId="36" fillId="25" borderId="9" xfId="0" applyFont="1" applyFill="1" applyBorder="1" applyAlignment="1">
      <alignment horizontal="center" vertical="top" wrapText="1"/>
    </xf>
    <xf numFmtId="0" fontId="37" fillId="25" borderId="0" xfId="0" applyFont="1" applyFill="1"/>
    <xf numFmtId="0" fontId="43" fillId="19" borderId="9" xfId="0" applyFont="1" applyFill="1" applyBorder="1" applyAlignment="1">
      <alignment horizontal="center" vertical="top" wrapText="1"/>
    </xf>
    <xf numFmtId="14" fontId="11" fillId="19" borderId="3" xfId="0" applyNumberFormat="1" applyFont="1" applyFill="1" applyBorder="1"/>
    <xf numFmtId="0" fontId="0" fillId="26" borderId="0" xfId="0" applyFill="1"/>
    <xf numFmtId="14" fontId="0" fillId="0" borderId="31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164" fontId="0" fillId="8" borderId="3" xfId="1" applyFont="1" applyFill="1" applyBorder="1"/>
    <xf numFmtId="0" fontId="34" fillId="8" borderId="7" xfId="0" applyFont="1" applyFill="1" applyBorder="1" applyAlignment="1">
      <alignment horizontal="center"/>
    </xf>
    <xf numFmtId="14" fontId="43" fillId="0" borderId="8" xfId="0" applyNumberFormat="1" applyFont="1" applyBorder="1" applyAlignment="1">
      <alignment horizontal="center"/>
    </xf>
    <xf numFmtId="14" fontId="0" fillId="5" borderId="8" xfId="0" applyNumberFormat="1" applyFill="1" applyBorder="1" applyAlignment="1">
      <alignment horizontal="center"/>
    </xf>
    <xf numFmtId="164" fontId="43" fillId="0" borderId="3" xfId="1" applyFont="1" applyBorder="1" applyAlignment="1">
      <alignment horizontal="center"/>
    </xf>
    <xf numFmtId="164" fontId="43" fillId="0" borderId="8" xfId="1" applyFont="1" applyFill="1" applyBorder="1" applyAlignment="1">
      <alignment horizontal="left"/>
    </xf>
    <xf numFmtId="0" fontId="34" fillId="8" borderId="2" xfId="0" applyFont="1" applyFill="1" applyBorder="1" applyAlignment="1">
      <alignment horizontal="center"/>
    </xf>
    <xf numFmtId="9" fontId="34" fillId="8" borderId="1" xfId="0" applyNumberFormat="1" applyFont="1" applyFill="1" applyBorder="1" applyAlignment="1">
      <alignment horizontal="center"/>
    </xf>
    <xf numFmtId="164" fontId="8" fillId="0" borderId="21" xfId="1" applyFont="1" applyFill="1" applyBorder="1"/>
    <xf numFmtId="0" fontId="47" fillId="0" borderId="0" xfId="0" applyFont="1"/>
    <xf numFmtId="0" fontId="48" fillId="0" borderId="0" xfId="0" applyFont="1"/>
    <xf numFmtId="14" fontId="43" fillId="0" borderId="6" xfId="0" applyNumberFormat="1" applyFont="1" applyBorder="1"/>
    <xf numFmtId="14" fontId="11" fillId="3" borderId="6" xfId="0" applyNumberFormat="1" applyFont="1" applyFill="1" applyBorder="1"/>
    <xf numFmtId="14" fontId="11" fillId="3" borderId="3" xfId="0" applyNumberFormat="1" applyFont="1" applyFill="1" applyBorder="1"/>
    <xf numFmtId="14" fontId="11" fillId="14" borderId="3" xfId="0" applyNumberFormat="1" applyFont="1" applyFill="1" applyBorder="1"/>
    <xf numFmtId="0" fontId="43" fillId="14" borderId="3" xfId="0" applyFont="1" applyFill="1" applyBorder="1" applyAlignment="1">
      <alignment horizontal="center" vertical="top" wrapText="1"/>
    </xf>
    <xf numFmtId="164" fontId="37" fillId="14" borderId="3" xfId="1" applyFont="1" applyFill="1" applyBorder="1"/>
    <xf numFmtId="164" fontId="0" fillId="14" borderId="0" xfId="1" applyFont="1" applyFill="1"/>
    <xf numFmtId="14" fontId="43" fillId="11" borderId="3" xfId="0" applyNumberFormat="1" applyFont="1" applyFill="1" applyBorder="1"/>
    <xf numFmtId="14" fontId="11" fillId="16" borderId="6" xfId="0" applyNumberFormat="1" applyFont="1" applyFill="1" applyBorder="1"/>
    <xf numFmtId="164" fontId="37" fillId="16" borderId="3" xfId="1" applyFont="1" applyFill="1" applyBorder="1"/>
    <xf numFmtId="0" fontId="0" fillId="16" borderId="0" xfId="0" applyFill="1"/>
    <xf numFmtId="164" fontId="0" fillId="16" borderId="0" xfId="1" applyFont="1" applyFill="1"/>
    <xf numFmtId="14" fontId="43" fillId="16" borderId="3" xfId="0" applyNumberFormat="1" applyFont="1" applyFill="1" applyBorder="1"/>
    <xf numFmtId="14" fontId="11" fillId="26" borderId="6" xfId="0" applyNumberFormat="1" applyFont="1" applyFill="1" applyBorder="1"/>
    <xf numFmtId="0" fontId="36" fillId="26" borderId="9" xfId="0" applyFont="1" applyFill="1" applyBorder="1" applyAlignment="1">
      <alignment horizontal="center" vertical="top" wrapText="1"/>
    </xf>
    <xf numFmtId="0" fontId="0" fillId="26" borderId="9" xfId="0" applyFill="1" applyBorder="1" applyAlignment="1">
      <alignment horizontal="right"/>
    </xf>
    <xf numFmtId="164" fontId="0" fillId="26" borderId="0" xfId="1" applyFont="1" applyFill="1"/>
    <xf numFmtId="14" fontId="43" fillId="26" borderId="3" xfId="0" applyNumberFormat="1" applyFont="1" applyFill="1" applyBorder="1"/>
    <xf numFmtId="164" fontId="43" fillId="26" borderId="3" xfId="1" applyFont="1" applyFill="1" applyBorder="1"/>
    <xf numFmtId="164" fontId="0" fillId="24" borderId="0" xfId="1" applyFont="1" applyFill="1"/>
    <xf numFmtId="0" fontId="36" fillId="24" borderId="9" xfId="0" applyFont="1" applyFill="1" applyBorder="1" applyAlignment="1">
      <alignment horizontal="center" vertical="top" wrapText="1"/>
    </xf>
    <xf numFmtId="164" fontId="36" fillId="24" borderId="9" xfId="1" applyFont="1" applyFill="1" applyBorder="1"/>
    <xf numFmtId="14" fontId="43" fillId="24" borderId="6" xfId="0" applyNumberFormat="1" applyFont="1" applyFill="1" applyBorder="1"/>
    <xf numFmtId="0" fontId="43" fillId="24" borderId="9" xfId="0" applyFont="1" applyFill="1" applyBorder="1" applyAlignment="1">
      <alignment horizontal="center" vertical="top" wrapText="1"/>
    </xf>
    <xf numFmtId="164" fontId="43" fillId="24" borderId="0" xfId="1" applyFont="1" applyFill="1" applyBorder="1"/>
    <xf numFmtId="164" fontId="43" fillId="24" borderId="9" xfId="1" applyFont="1" applyFill="1" applyBorder="1"/>
    <xf numFmtId="14" fontId="13" fillId="32" borderId="6" xfId="0" applyNumberFormat="1" applyFont="1" applyFill="1" applyBorder="1"/>
    <xf numFmtId="0" fontId="43" fillId="32" borderId="3" xfId="0" applyFont="1" applyFill="1" applyBorder="1" applyAlignment="1">
      <alignment horizontal="center" vertical="top" wrapText="1"/>
    </xf>
    <xf numFmtId="164" fontId="43" fillId="32" borderId="3" xfId="1" applyFont="1" applyFill="1" applyBorder="1"/>
    <xf numFmtId="0" fontId="0" fillId="32" borderId="3" xfId="0" applyFill="1" applyBorder="1"/>
    <xf numFmtId="164" fontId="0" fillId="32" borderId="0" xfId="1" applyFont="1" applyFill="1"/>
    <xf numFmtId="14" fontId="43" fillId="32" borderId="6" xfId="0" applyNumberFormat="1" applyFont="1" applyFill="1" applyBorder="1"/>
    <xf numFmtId="0" fontId="43" fillId="32" borderId="9" xfId="0" applyFont="1" applyFill="1" applyBorder="1" applyAlignment="1">
      <alignment horizontal="center" vertical="top" wrapText="1"/>
    </xf>
    <xf numFmtId="0" fontId="0" fillId="32" borderId="0" xfId="0" applyFill="1"/>
    <xf numFmtId="14" fontId="11" fillId="32" borderId="6" xfId="0" applyNumberFormat="1" applyFont="1" applyFill="1" applyBorder="1"/>
    <xf numFmtId="0" fontId="36" fillId="32" borderId="3" xfId="0" applyFont="1" applyFill="1" applyBorder="1" applyAlignment="1">
      <alignment horizontal="center" vertical="top" wrapText="1"/>
    </xf>
    <xf numFmtId="164" fontId="36" fillId="32" borderId="3" xfId="1" applyFont="1" applyFill="1" applyBorder="1"/>
    <xf numFmtId="14" fontId="43" fillId="29" borderId="6" xfId="0" applyNumberFormat="1" applyFont="1" applyFill="1" applyBorder="1"/>
    <xf numFmtId="0" fontId="43" fillId="29" borderId="3" xfId="0" applyFont="1" applyFill="1" applyBorder="1" applyAlignment="1">
      <alignment horizontal="center" vertical="top" wrapText="1"/>
    </xf>
    <xf numFmtId="164" fontId="43" fillId="29" borderId="3" xfId="1" applyFont="1" applyFill="1" applyBorder="1"/>
    <xf numFmtId="164" fontId="0" fillId="29" borderId="0" xfId="1" applyFont="1" applyFill="1"/>
    <xf numFmtId="14" fontId="43" fillId="5" borderId="3" xfId="0" applyNumberFormat="1" applyFont="1" applyFill="1" applyBorder="1"/>
    <xf numFmtId="164" fontId="34" fillId="10" borderId="3" xfId="1" applyFont="1" applyFill="1" applyBorder="1" applyAlignment="1">
      <alignment horizontal="center"/>
    </xf>
    <xf numFmtId="14" fontId="43" fillId="5" borderId="6" xfId="0" applyNumberFormat="1" applyFont="1" applyFill="1" applyBorder="1"/>
    <xf numFmtId="14" fontId="43" fillId="5" borderId="20" xfId="0" applyNumberFormat="1" applyFont="1" applyFill="1" applyBorder="1"/>
    <xf numFmtId="164" fontId="43" fillId="5" borderId="0" xfId="1" applyFont="1" applyFill="1" applyBorder="1"/>
    <xf numFmtId="14" fontId="43" fillId="2" borderId="6" xfId="0" applyNumberFormat="1" applyFont="1" applyFill="1" applyBorder="1"/>
    <xf numFmtId="0" fontId="43" fillId="2" borderId="3" xfId="0" applyFont="1" applyFill="1" applyBorder="1" applyAlignment="1">
      <alignment horizontal="center" vertical="top" wrapText="1"/>
    </xf>
    <xf numFmtId="164" fontId="43" fillId="2" borderId="3" xfId="1" applyFont="1" applyFill="1" applyBorder="1"/>
    <xf numFmtId="164" fontId="0" fillId="2" borderId="0" xfId="1" applyFont="1" applyFill="1"/>
    <xf numFmtId="14" fontId="43" fillId="2" borderId="3" xfId="0" applyNumberFormat="1" applyFont="1" applyFill="1" applyBorder="1"/>
    <xf numFmtId="14" fontId="43" fillId="33" borderId="6" xfId="0" applyNumberFormat="1" applyFont="1" applyFill="1" applyBorder="1"/>
    <xf numFmtId="0" fontId="43" fillId="33" borderId="9" xfId="0" applyFont="1" applyFill="1" applyBorder="1" applyAlignment="1">
      <alignment horizontal="center" vertical="top" wrapText="1"/>
    </xf>
    <xf numFmtId="164" fontId="43" fillId="33" borderId="3" xfId="1" applyFont="1" applyFill="1" applyBorder="1"/>
    <xf numFmtId="164" fontId="0" fillId="33" borderId="0" xfId="1" applyFont="1" applyFill="1"/>
    <xf numFmtId="14" fontId="43" fillId="33" borderId="3" xfId="0" applyNumberFormat="1" applyFont="1" applyFill="1" applyBorder="1"/>
    <xf numFmtId="0" fontId="43" fillId="33" borderId="3" xfId="0" applyFont="1" applyFill="1" applyBorder="1" applyAlignment="1">
      <alignment horizontal="center" vertical="top" wrapText="1"/>
    </xf>
    <xf numFmtId="164" fontId="37" fillId="33" borderId="0" xfId="1" applyFont="1" applyFill="1"/>
    <xf numFmtId="164" fontId="36" fillId="33" borderId="0" xfId="1" applyFont="1" applyFill="1"/>
    <xf numFmtId="14" fontId="43" fillId="20" borderId="6" xfId="0" applyNumberFormat="1" applyFont="1" applyFill="1" applyBorder="1"/>
    <xf numFmtId="164" fontId="43" fillId="9" borderId="5" xfId="1" applyFont="1" applyFill="1" applyBorder="1"/>
    <xf numFmtId="14" fontId="43" fillId="9" borderId="6" xfId="0" applyNumberFormat="1" applyFont="1" applyFill="1" applyBorder="1"/>
    <xf numFmtId="14" fontId="43" fillId="34" borderId="6" xfId="0" applyNumberFormat="1" applyFont="1" applyFill="1" applyBorder="1"/>
    <xf numFmtId="0" fontId="43" fillId="34" borderId="3" xfId="0" applyFont="1" applyFill="1" applyBorder="1" applyAlignment="1">
      <alignment horizontal="center" vertical="top" wrapText="1"/>
    </xf>
    <xf numFmtId="164" fontId="43" fillId="34" borderId="3" xfId="1" applyFont="1" applyFill="1" applyBorder="1"/>
    <xf numFmtId="0" fontId="0" fillId="34" borderId="0" xfId="0" applyFill="1"/>
    <xf numFmtId="164" fontId="0" fillId="34" borderId="0" xfId="1" applyFont="1" applyFill="1"/>
    <xf numFmtId="14" fontId="43" fillId="34" borderId="3" xfId="0" applyNumberFormat="1" applyFont="1" applyFill="1" applyBorder="1"/>
    <xf numFmtId="14" fontId="43" fillId="12" borderId="6" xfId="0" applyNumberFormat="1" applyFont="1" applyFill="1" applyBorder="1"/>
    <xf numFmtId="0" fontId="43" fillId="12" borderId="3" xfId="0" applyFont="1" applyFill="1" applyBorder="1" applyAlignment="1">
      <alignment horizontal="center" vertical="top" wrapText="1"/>
    </xf>
    <xf numFmtId="164" fontId="36" fillId="12" borderId="0" xfId="1" applyFont="1" applyFill="1"/>
    <xf numFmtId="164" fontId="0" fillId="12" borderId="0" xfId="1" applyFont="1" applyFill="1"/>
    <xf numFmtId="164" fontId="0" fillId="0" borderId="0" xfId="1" applyFont="1" applyAlignment="1">
      <alignment horizontal="center"/>
    </xf>
    <xf numFmtId="164" fontId="36" fillId="12" borderId="3" xfId="1" applyFont="1" applyFill="1" applyBorder="1"/>
    <xf numFmtId="164" fontId="37" fillId="12" borderId="3" xfId="1" applyFont="1" applyFill="1" applyBorder="1"/>
    <xf numFmtId="14" fontId="43" fillId="12" borderId="3" xfId="0" applyNumberFormat="1" applyFont="1" applyFill="1" applyBorder="1"/>
    <xf numFmtId="0" fontId="43" fillId="12" borderId="9" xfId="0" applyFont="1" applyFill="1" applyBorder="1" applyAlignment="1">
      <alignment horizontal="center" vertical="top" wrapText="1"/>
    </xf>
    <xf numFmtId="164" fontId="43" fillId="12" borderId="9" xfId="1" applyFont="1" applyFill="1" applyBorder="1"/>
    <xf numFmtId="164" fontId="43" fillId="12" borderId="3" xfId="1" applyFont="1" applyFill="1" applyBorder="1"/>
    <xf numFmtId="14" fontId="43" fillId="35" borderId="6" xfId="0" applyNumberFormat="1" applyFont="1" applyFill="1" applyBorder="1"/>
    <xf numFmtId="0" fontId="43" fillId="35" borderId="3" xfId="0" applyFont="1" applyFill="1" applyBorder="1" applyAlignment="1">
      <alignment horizontal="center" vertical="top" wrapText="1"/>
    </xf>
    <xf numFmtId="164" fontId="37" fillId="35" borderId="0" xfId="1" applyFont="1" applyFill="1"/>
    <xf numFmtId="164" fontId="0" fillId="35" borderId="0" xfId="1" applyFont="1" applyFill="1"/>
    <xf numFmtId="0" fontId="43" fillId="35" borderId="9" xfId="0" applyFont="1" applyFill="1" applyBorder="1" applyAlignment="1">
      <alignment horizontal="center" vertical="top" wrapText="1"/>
    </xf>
    <xf numFmtId="164" fontId="43" fillId="35" borderId="3" xfId="1" applyFont="1" applyFill="1" applyBorder="1"/>
    <xf numFmtId="14" fontId="43" fillId="35" borderId="20" xfId="0" applyNumberFormat="1" applyFont="1" applyFill="1" applyBorder="1"/>
    <xf numFmtId="164" fontId="37" fillId="35" borderId="9" xfId="1" applyFont="1" applyFill="1" applyBorder="1"/>
    <xf numFmtId="14" fontId="43" fillId="35" borderId="3" xfId="0" applyNumberFormat="1" applyFont="1" applyFill="1" applyBorder="1"/>
    <xf numFmtId="0" fontId="48" fillId="0" borderId="11" xfId="0" applyFont="1" applyBorder="1"/>
    <xf numFmtId="164" fontId="0" fillId="35" borderId="0" xfId="1" applyFont="1" applyFill="1" applyBorder="1"/>
    <xf numFmtId="14" fontId="43" fillId="31" borderId="3" xfId="0" applyNumberFormat="1" applyFont="1" applyFill="1" applyBorder="1"/>
    <xf numFmtId="14" fontId="43" fillId="31" borderId="6" xfId="0" applyNumberFormat="1" applyFont="1" applyFill="1" applyBorder="1"/>
    <xf numFmtId="164" fontId="43" fillId="35" borderId="9" xfId="1" applyFont="1" applyFill="1" applyBorder="1"/>
    <xf numFmtId="164" fontId="43" fillId="33" borderId="9" xfId="1" applyFont="1" applyFill="1" applyBorder="1"/>
    <xf numFmtId="0" fontId="43" fillId="29" borderId="9" xfId="0" applyFont="1" applyFill="1" applyBorder="1" applyAlignment="1">
      <alignment horizontal="center" vertical="top" wrapText="1"/>
    </xf>
    <xf numFmtId="164" fontId="43" fillId="29" borderId="9" xfId="1" applyFont="1" applyFill="1" applyBorder="1"/>
    <xf numFmtId="14" fontId="43" fillId="19" borderId="6" xfId="0" applyNumberFormat="1" applyFont="1" applyFill="1" applyBorder="1"/>
    <xf numFmtId="164" fontId="43" fillId="19" borderId="9" xfId="1" applyFont="1" applyFill="1" applyBorder="1"/>
    <xf numFmtId="15" fontId="0" fillId="0" borderId="0" xfId="0" applyNumberFormat="1"/>
    <xf numFmtId="17" fontId="0" fillId="0" borderId="0" xfId="0" applyNumberFormat="1"/>
    <xf numFmtId="0" fontId="34" fillId="10" borderId="52" xfId="0" applyFont="1" applyFill="1" applyBorder="1" applyAlignment="1">
      <alignment horizontal="center"/>
    </xf>
    <xf numFmtId="164" fontId="0" fillId="3" borderId="4" xfId="1" applyFont="1" applyFill="1" applyBorder="1"/>
    <xf numFmtId="0" fontId="34" fillId="0" borderId="0" xfId="0" applyFont="1"/>
    <xf numFmtId="164" fontId="0" fillId="0" borderId="10" xfId="0" applyNumberFormat="1" applyBorder="1"/>
    <xf numFmtId="164" fontId="0" fillId="0" borderId="2" xfId="1" applyFont="1" applyBorder="1"/>
    <xf numFmtId="164" fontId="0" fillId="0" borderId="1" xfId="1" applyFont="1" applyBorder="1"/>
    <xf numFmtId="9" fontId="0" fillId="0" borderId="4" xfId="2" applyFont="1" applyBorder="1"/>
    <xf numFmtId="164" fontId="0" fillId="9" borderId="1" xfId="0" applyNumberFormat="1" applyFill="1" applyBorder="1"/>
    <xf numFmtId="164" fontId="0" fillId="3" borderId="10" xfId="0" applyNumberFormat="1" applyFill="1" applyBorder="1"/>
    <xf numFmtId="164" fontId="0" fillId="0" borderId="20" xfId="1" applyFont="1" applyBorder="1"/>
    <xf numFmtId="0" fontId="36" fillId="28" borderId="3" xfId="0" applyFont="1" applyFill="1" applyBorder="1" applyAlignment="1">
      <alignment horizontal="center" vertical="top" wrapText="1"/>
    </xf>
    <xf numFmtId="0" fontId="37" fillId="7" borderId="3" xfId="0" applyFont="1" applyFill="1" applyBorder="1" applyAlignment="1">
      <alignment horizontal="center" vertical="top" wrapText="1"/>
    </xf>
    <xf numFmtId="164" fontId="36" fillId="28" borderId="3" xfId="1" applyFont="1" applyFill="1" applyBorder="1" applyAlignment="1">
      <alignment horizontal="center" vertical="top" wrapText="1"/>
    </xf>
    <xf numFmtId="164" fontId="37" fillId="7" borderId="9" xfId="1" applyFont="1" applyFill="1" applyBorder="1" applyAlignment="1">
      <alignment horizontal="center" vertical="top" wrapText="1"/>
    </xf>
    <xf numFmtId="164" fontId="43" fillId="32" borderId="9" xfId="1" applyFont="1" applyFill="1" applyBorder="1" applyAlignment="1">
      <alignment horizontal="center" vertical="top" wrapText="1"/>
    </xf>
    <xf numFmtId="164" fontId="43" fillId="32" borderId="9" xfId="1" applyFont="1" applyFill="1" applyBorder="1"/>
    <xf numFmtId="0" fontId="7" fillId="32" borderId="0" xfId="0" applyFont="1" applyFill="1"/>
    <xf numFmtId="0" fontId="36" fillId="32" borderId="0" xfId="0" applyFont="1" applyFill="1"/>
    <xf numFmtId="164" fontId="0" fillId="32" borderId="0" xfId="1" applyFont="1" applyFill="1" applyAlignment="1">
      <alignment horizontal="right"/>
    </xf>
    <xf numFmtId="0" fontId="43" fillId="9" borderId="9" xfId="0" applyFont="1" applyFill="1" applyBorder="1" applyAlignment="1">
      <alignment horizontal="center" vertical="top" wrapText="1"/>
    </xf>
    <xf numFmtId="164" fontId="43" fillId="9" borderId="9" xfId="1" applyFont="1" applyFill="1" applyBorder="1"/>
    <xf numFmtId="164" fontId="37" fillId="17" borderId="9" xfId="1" applyFont="1" applyFill="1" applyBorder="1"/>
    <xf numFmtId="14" fontId="43" fillId="17" borderId="6" xfId="0" applyNumberFormat="1" applyFont="1" applyFill="1" applyBorder="1"/>
    <xf numFmtId="164" fontId="43" fillId="17" borderId="3" xfId="1" applyFont="1" applyFill="1" applyBorder="1"/>
    <xf numFmtId="164" fontId="37" fillId="17" borderId="3" xfId="1" applyFont="1" applyFill="1" applyBorder="1" applyAlignment="1">
      <alignment horizontal="center" vertical="top" wrapText="1"/>
    </xf>
    <xf numFmtId="164" fontId="37" fillId="17" borderId="3" xfId="1" applyFont="1" applyFill="1" applyBorder="1"/>
    <xf numFmtId="0" fontId="0" fillId="17" borderId="0" xfId="0" applyFill="1"/>
    <xf numFmtId="0" fontId="0" fillId="17" borderId="0" xfId="0" applyFill="1" applyAlignment="1">
      <alignment horizontal="right"/>
    </xf>
    <xf numFmtId="164" fontId="36" fillId="17" borderId="3" xfId="1" applyFont="1" applyFill="1" applyBorder="1" applyAlignment="1">
      <alignment horizontal="center" vertical="top" wrapText="1"/>
    </xf>
    <xf numFmtId="164" fontId="36" fillId="17" borderId="3" xfId="1" applyFont="1" applyFill="1" applyBorder="1"/>
    <xf numFmtId="0" fontId="37" fillId="17" borderId="0" xfId="0" applyFont="1" applyFill="1"/>
    <xf numFmtId="164" fontId="0" fillId="17" borderId="0" xfId="1" applyFont="1" applyFill="1" applyAlignment="1">
      <alignment horizontal="right"/>
    </xf>
    <xf numFmtId="0" fontId="37" fillId="0" borderId="3" xfId="0" applyFont="1" applyBorder="1" applyAlignment="1">
      <alignment horizontal="center" vertical="top" wrapText="1"/>
    </xf>
    <xf numFmtId="0" fontId="43" fillId="0" borderId="9" xfId="0" applyFont="1" applyBorder="1" applyAlignment="1">
      <alignment horizontal="center" vertical="top" wrapText="1"/>
    </xf>
    <xf numFmtId="0" fontId="36" fillId="0" borderId="3" xfId="0" applyFont="1" applyBorder="1" applyAlignment="1">
      <alignment horizontal="center" vertical="top" wrapText="1"/>
    </xf>
    <xf numFmtId="0" fontId="6" fillId="0" borderId="0" xfId="0" applyFont="1"/>
    <xf numFmtId="164" fontId="6" fillId="19" borderId="3" xfId="1" applyFont="1" applyFill="1" applyBorder="1"/>
    <xf numFmtId="164" fontId="6" fillId="0" borderId="3" xfId="1" applyFont="1" applyBorder="1"/>
    <xf numFmtId="14" fontId="6" fillId="0" borderId="3" xfId="0" applyNumberFormat="1" applyFont="1" applyBorder="1"/>
    <xf numFmtId="0" fontId="6" fillId="0" borderId="3" xfId="0" applyFont="1" applyBorder="1"/>
    <xf numFmtId="0" fontId="6" fillId="0" borderId="3" xfId="0" applyFont="1" applyBorder="1" applyAlignment="1">
      <alignment horizontal="right"/>
    </xf>
    <xf numFmtId="0" fontId="6" fillId="19" borderId="3" xfId="0" applyFont="1" applyFill="1" applyBorder="1"/>
    <xf numFmtId="164" fontId="6" fillId="19" borderId="3" xfId="1" quotePrefix="1" applyFont="1" applyFill="1" applyBorder="1"/>
    <xf numFmtId="164" fontId="6" fillId="9" borderId="3" xfId="1" applyFont="1" applyFill="1" applyBorder="1"/>
    <xf numFmtId="0" fontId="6" fillId="9" borderId="3" xfId="0" applyFont="1" applyFill="1" applyBorder="1"/>
    <xf numFmtId="0" fontId="6" fillId="17" borderId="3" xfId="0" applyFont="1" applyFill="1" applyBorder="1"/>
    <xf numFmtId="0" fontId="6" fillId="17" borderId="3" xfId="0" applyFont="1" applyFill="1" applyBorder="1" applyAlignment="1">
      <alignment horizontal="right"/>
    </xf>
    <xf numFmtId="164" fontId="6" fillId="17" borderId="3" xfId="1" applyFont="1" applyFill="1" applyBorder="1"/>
    <xf numFmtId="0" fontId="6" fillId="0" borderId="3" xfId="0" applyFont="1" applyBorder="1" applyAlignment="1">
      <alignment horizontal="center"/>
    </xf>
    <xf numFmtId="0" fontId="37" fillId="0" borderId="3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164" fontId="49" fillId="0" borderId="0" xfId="1" applyFont="1" applyFill="1" applyBorder="1"/>
    <xf numFmtId="0" fontId="43" fillId="0" borderId="3" xfId="0" applyFont="1" applyBorder="1" applyAlignment="1">
      <alignment horizontal="left" vertical="top" wrapText="1"/>
    </xf>
    <xf numFmtId="164" fontId="37" fillId="7" borderId="9" xfId="1" applyFont="1" applyFill="1" applyBorder="1" applyAlignment="1">
      <alignment horizontal="left" vertical="top" wrapText="1"/>
    </xf>
    <xf numFmtId="0" fontId="43" fillId="0" borderId="9" xfId="0" applyFont="1" applyBorder="1" applyAlignment="1">
      <alignment horizontal="left" vertical="top" wrapText="1"/>
    </xf>
    <xf numFmtId="0" fontId="37" fillId="0" borderId="3" xfId="0" applyFont="1" applyBorder="1" applyAlignment="1">
      <alignment horizontal="left" vertical="top" wrapText="1"/>
    </xf>
    <xf numFmtId="0" fontId="37" fillId="7" borderId="3" xfId="0" applyFont="1" applyFill="1" applyBorder="1" applyAlignment="1">
      <alignment horizontal="left" vertical="top" wrapText="1"/>
    </xf>
    <xf numFmtId="164" fontId="0" fillId="0" borderId="0" xfId="1" applyFont="1" applyAlignment="1">
      <alignment horizontal="left"/>
    </xf>
    <xf numFmtId="14" fontId="43" fillId="36" borderId="6" xfId="0" applyNumberFormat="1" applyFont="1" applyFill="1" applyBorder="1"/>
    <xf numFmtId="0" fontId="43" fillId="36" borderId="3" xfId="0" applyFont="1" applyFill="1" applyBorder="1" applyAlignment="1">
      <alignment horizontal="center" vertical="top" wrapText="1"/>
    </xf>
    <xf numFmtId="0" fontId="43" fillId="36" borderId="3" xfId="0" applyFont="1" applyFill="1" applyBorder="1" applyAlignment="1">
      <alignment horizontal="left" vertical="top" wrapText="1"/>
    </xf>
    <xf numFmtId="164" fontId="43" fillId="36" borderId="3" xfId="1" applyFont="1" applyFill="1" applyBorder="1"/>
    <xf numFmtId="164" fontId="0" fillId="36" borderId="0" xfId="1" applyFont="1" applyFill="1"/>
    <xf numFmtId="164" fontId="37" fillId="36" borderId="3" xfId="1" applyFont="1" applyFill="1" applyBorder="1" applyAlignment="1">
      <alignment horizontal="center" vertical="top" wrapText="1"/>
    </xf>
    <xf numFmtId="164" fontId="37" fillId="36" borderId="3" xfId="1" applyFont="1" applyFill="1" applyBorder="1" applyAlignment="1">
      <alignment horizontal="left" vertical="top" wrapText="1"/>
    </xf>
    <xf numFmtId="164" fontId="37" fillId="36" borderId="3" xfId="1" applyFont="1" applyFill="1" applyBorder="1"/>
    <xf numFmtId="0" fontId="43" fillId="36" borderId="9" xfId="0" applyFont="1" applyFill="1" applyBorder="1" applyAlignment="1">
      <alignment horizontal="center" vertical="top" wrapText="1"/>
    </xf>
    <xf numFmtId="0" fontId="43" fillId="36" borderId="9" xfId="0" applyFont="1" applyFill="1" applyBorder="1" applyAlignment="1">
      <alignment horizontal="left" vertical="top" wrapText="1"/>
    </xf>
    <xf numFmtId="14" fontId="43" fillId="10" borderId="6" xfId="0" applyNumberFormat="1" applyFont="1" applyFill="1" applyBorder="1"/>
    <xf numFmtId="0" fontId="43" fillId="10" borderId="3" xfId="0" applyFont="1" applyFill="1" applyBorder="1" applyAlignment="1">
      <alignment horizontal="left" vertical="top" wrapText="1"/>
    </xf>
    <xf numFmtId="164" fontId="43" fillId="10" borderId="3" xfId="1" applyFont="1" applyFill="1" applyBorder="1"/>
    <xf numFmtId="14" fontId="43" fillId="23" borderId="6" xfId="0" applyNumberFormat="1" applyFont="1" applyFill="1" applyBorder="1"/>
    <xf numFmtId="0" fontId="43" fillId="23" borderId="3" xfId="0" applyFont="1" applyFill="1" applyBorder="1" applyAlignment="1">
      <alignment horizontal="left" vertical="top" wrapText="1"/>
    </xf>
    <xf numFmtId="164" fontId="43" fillId="23" borderId="3" xfId="1" applyFont="1" applyFill="1" applyBorder="1"/>
    <xf numFmtId="0" fontId="43" fillId="23" borderId="9" xfId="0" applyFont="1" applyFill="1" applyBorder="1" applyAlignment="1">
      <alignment horizontal="center" vertical="top" wrapText="1"/>
    </xf>
    <xf numFmtId="0" fontId="43" fillId="23" borderId="9" xfId="0" applyFont="1" applyFill="1" applyBorder="1" applyAlignment="1">
      <alignment horizontal="left" vertical="top" wrapText="1"/>
    </xf>
    <xf numFmtId="164" fontId="36" fillId="23" borderId="3" xfId="1" applyFont="1" applyFill="1" applyBorder="1"/>
    <xf numFmtId="0" fontId="43" fillId="12" borderId="3" xfId="0" applyFont="1" applyFill="1" applyBorder="1" applyAlignment="1">
      <alignment horizontal="left" vertical="top" wrapText="1"/>
    </xf>
    <xf numFmtId="0" fontId="37" fillId="12" borderId="3" xfId="0" applyFont="1" applyFill="1" applyBorder="1" applyAlignment="1">
      <alignment horizontal="center" vertical="top" wrapText="1"/>
    </xf>
    <xf numFmtId="0" fontId="37" fillId="12" borderId="3" xfId="0" applyFont="1" applyFill="1" applyBorder="1" applyAlignment="1">
      <alignment horizontal="left" vertical="top" wrapText="1"/>
    </xf>
    <xf numFmtId="0" fontId="43" fillId="5" borderId="3" xfId="0" applyFont="1" applyFill="1" applyBorder="1" applyAlignment="1">
      <alignment horizontal="left" vertical="top" wrapText="1"/>
    </xf>
    <xf numFmtId="164" fontId="36" fillId="5" borderId="3" xfId="1" applyFont="1" applyFill="1" applyBorder="1"/>
    <xf numFmtId="0" fontId="36" fillId="5" borderId="3" xfId="0" applyFont="1" applyFill="1" applyBorder="1" applyAlignment="1">
      <alignment horizontal="center" vertical="top" wrapText="1"/>
    </xf>
    <xf numFmtId="0" fontId="36" fillId="5" borderId="3" xfId="0" applyFont="1" applyFill="1" applyBorder="1" applyAlignment="1">
      <alignment horizontal="left" vertical="top" wrapText="1"/>
    </xf>
    <xf numFmtId="0" fontId="47" fillId="5" borderId="0" xfId="0" applyFont="1" applyFill="1"/>
    <xf numFmtId="0" fontId="0" fillId="5" borderId="0" xfId="0" applyFill="1"/>
    <xf numFmtId="0" fontId="0" fillId="5" borderId="0" xfId="0" applyFill="1" applyAlignment="1">
      <alignment horizontal="right"/>
    </xf>
    <xf numFmtId="0" fontId="37" fillId="5" borderId="3" xfId="0" applyFont="1" applyFill="1" applyBorder="1" applyAlignment="1">
      <alignment horizontal="left" vertical="top" wrapText="1"/>
    </xf>
    <xf numFmtId="164" fontId="37" fillId="5" borderId="21" xfId="1" applyFont="1" applyFill="1" applyBorder="1"/>
    <xf numFmtId="0" fontId="47" fillId="21" borderId="0" xfId="0" applyFont="1" applyFill="1"/>
    <xf numFmtId="0" fontId="0" fillId="21" borderId="0" xfId="0" applyFill="1" applyAlignment="1">
      <alignment horizontal="right"/>
    </xf>
    <xf numFmtId="0" fontId="48" fillId="21" borderId="0" xfId="0" applyFont="1" applyFill="1"/>
    <xf numFmtId="14" fontId="43" fillId="21" borderId="6" xfId="0" applyNumberFormat="1" applyFont="1" applyFill="1" applyBorder="1"/>
    <xf numFmtId="0" fontId="43" fillId="21" borderId="3" xfId="0" applyFont="1" applyFill="1" applyBorder="1" applyAlignment="1">
      <alignment horizontal="left" vertical="top" wrapText="1"/>
    </xf>
    <xf numFmtId="164" fontId="0" fillId="21" borderId="0" xfId="1" applyFont="1" applyFill="1" applyAlignment="1">
      <alignment horizontal="right"/>
    </xf>
    <xf numFmtId="164" fontId="0" fillId="0" borderId="0" xfId="1" applyFont="1" applyAlignment="1">
      <alignment horizontal="right"/>
    </xf>
    <xf numFmtId="0" fontId="43" fillId="24" borderId="3" xfId="0" applyFont="1" applyFill="1" applyBorder="1" applyAlignment="1">
      <alignment horizontal="left" vertical="top" wrapText="1"/>
    </xf>
    <xf numFmtId="164" fontId="37" fillId="24" borderId="3" xfId="1" applyFont="1" applyFill="1" applyBorder="1"/>
    <xf numFmtId="0" fontId="43" fillId="29" borderId="3" xfId="0" applyFont="1" applyFill="1" applyBorder="1" applyAlignment="1">
      <alignment horizontal="left" vertical="top" wrapText="1"/>
    </xf>
    <xf numFmtId="0" fontId="48" fillId="29" borderId="24" xfId="0" applyFont="1" applyFill="1" applyBorder="1" applyAlignment="1">
      <alignment horizontal="center" vertical="top" wrapText="1"/>
    </xf>
    <xf numFmtId="0" fontId="0" fillId="29" borderId="0" xfId="0" applyFill="1" applyAlignment="1">
      <alignment horizontal="right"/>
    </xf>
    <xf numFmtId="0" fontId="43" fillId="19" borderId="3" xfId="0" applyFont="1" applyFill="1" applyBorder="1" applyAlignment="1">
      <alignment horizontal="left" vertical="top" wrapText="1"/>
    </xf>
    <xf numFmtId="14" fontId="43" fillId="37" borderId="6" xfId="0" applyNumberFormat="1" applyFont="1" applyFill="1" applyBorder="1"/>
    <xf numFmtId="0" fontId="43" fillId="37" borderId="3" xfId="0" applyFont="1" applyFill="1" applyBorder="1" applyAlignment="1">
      <alignment horizontal="center" vertical="top" wrapText="1"/>
    </xf>
    <xf numFmtId="0" fontId="43" fillId="37" borderId="3" xfId="0" applyFont="1" applyFill="1" applyBorder="1" applyAlignment="1">
      <alignment horizontal="left" vertical="top" wrapText="1"/>
    </xf>
    <xf numFmtId="164" fontId="43" fillId="37" borderId="3" xfId="1" applyFont="1" applyFill="1" applyBorder="1"/>
    <xf numFmtId="0" fontId="36" fillId="37" borderId="0" xfId="0" applyFont="1" applyFill="1"/>
    <xf numFmtId="0" fontId="6" fillId="37" borderId="0" xfId="0" applyFont="1" applyFill="1"/>
    <xf numFmtId="0" fontId="6" fillId="37" borderId="0" xfId="0" applyFont="1" applyFill="1" applyAlignment="1">
      <alignment horizontal="right"/>
    </xf>
    <xf numFmtId="164" fontId="6" fillId="37" borderId="0" xfId="1" applyFont="1" applyFill="1"/>
    <xf numFmtId="0" fontId="43" fillId="20" borderId="3" xfId="0" applyFont="1" applyFill="1" applyBorder="1" applyAlignment="1">
      <alignment horizontal="left" vertical="top" wrapText="1"/>
    </xf>
    <xf numFmtId="14" fontId="43" fillId="4" borderId="6" xfId="0" applyNumberFormat="1" applyFont="1" applyFill="1" applyBorder="1"/>
    <xf numFmtId="0" fontId="43" fillId="4" borderId="3" xfId="0" applyFont="1" applyFill="1" applyBorder="1" applyAlignment="1">
      <alignment horizontal="left" vertical="top" wrapText="1"/>
    </xf>
    <xf numFmtId="0" fontId="43" fillId="4" borderId="9" xfId="0" applyFont="1" applyFill="1" applyBorder="1" applyAlignment="1">
      <alignment horizontal="left" vertical="top" wrapText="1"/>
    </xf>
    <xf numFmtId="164" fontId="43" fillId="4" borderId="9" xfId="1" applyFont="1" applyFill="1" applyBorder="1"/>
    <xf numFmtId="0" fontId="37" fillId="4" borderId="3" xfId="0" applyFont="1" applyFill="1" applyBorder="1" applyAlignment="1">
      <alignment horizontal="left" vertical="top" wrapText="1"/>
    </xf>
    <xf numFmtId="0" fontId="43" fillId="32" borderId="3" xfId="0" applyFont="1" applyFill="1" applyBorder="1" applyAlignment="1">
      <alignment horizontal="left" vertical="top" wrapText="1"/>
    </xf>
    <xf numFmtId="0" fontId="48" fillId="32" borderId="0" xfId="0" applyFont="1" applyFill="1"/>
    <xf numFmtId="0" fontId="36" fillId="24" borderId="3" xfId="0" applyFont="1" applyFill="1" applyBorder="1" applyAlignment="1">
      <alignment horizontal="center" vertical="top" wrapText="1"/>
    </xf>
    <xf numFmtId="0" fontId="36" fillId="24" borderId="3" xfId="0" applyFont="1" applyFill="1" applyBorder="1" applyAlignment="1">
      <alignment horizontal="left" vertical="top" wrapText="1"/>
    </xf>
    <xf numFmtId="164" fontId="36" fillId="24" borderId="3" xfId="1" applyFont="1" applyFill="1" applyBorder="1"/>
    <xf numFmtId="0" fontId="37" fillId="24" borderId="3" xfId="0" applyFont="1" applyFill="1" applyBorder="1" applyAlignment="1">
      <alignment horizontal="left" vertical="top" wrapText="1"/>
    </xf>
    <xf numFmtId="0" fontId="37" fillId="19" borderId="24" xfId="0" applyFont="1" applyFill="1" applyBorder="1" applyAlignment="1">
      <alignment horizontal="center" vertical="top" wrapText="1"/>
    </xf>
    <xf numFmtId="0" fontId="6" fillId="19" borderId="0" xfId="0" applyFont="1" applyFill="1" applyAlignment="1">
      <alignment horizontal="right"/>
    </xf>
    <xf numFmtId="164" fontId="6" fillId="19" borderId="0" xfId="1" applyFont="1" applyFill="1"/>
    <xf numFmtId="14" fontId="43" fillId="30" borderId="6" xfId="0" applyNumberFormat="1" applyFont="1" applyFill="1" applyBorder="1"/>
    <xf numFmtId="0" fontId="37" fillId="30" borderId="3" xfId="0" applyFont="1" applyFill="1" applyBorder="1" applyAlignment="1">
      <alignment horizontal="center" vertical="top" wrapText="1"/>
    </xf>
    <xf numFmtId="0" fontId="37" fillId="30" borderId="3" xfId="0" applyFont="1" applyFill="1" applyBorder="1" applyAlignment="1">
      <alignment horizontal="left" vertical="top" wrapText="1"/>
    </xf>
    <xf numFmtId="164" fontId="37" fillId="30" borderId="3" xfId="1" applyFont="1" applyFill="1" applyBorder="1"/>
    <xf numFmtId="0" fontId="36" fillId="30" borderId="3" xfId="0" applyFont="1" applyFill="1" applyBorder="1" applyAlignment="1">
      <alignment horizontal="center" vertical="top" wrapText="1"/>
    </xf>
    <xf numFmtId="0" fontId="36" fillId="30" borderId="3" xfId="0" applyFont="1" applyFill="1" applyBorder="1" applyAlignment="1">
      <alignment horizontal="left" vertical="top" wrapText="1"/>
    </xf>
    <xf numFmtId="0" fontId="36" fillId="4" borderId="3" xfId="0" applyFont="1" applyFill="1" applyBorder="1" applyAlignment="1">
      <alignment horizontal="left" vertical="top" wrapText="1"/>
    </xf>
    <xf numFmtId="164" fontId="36" fillId="4" borderId="3" xfId="1" applyFont="1" applyFill="1" applyBorder="1"/>
    <xf numFmtId="0" fontId="36" fillId="32" borderId="9" xfId="0" applyFont="1" applyFill="1" applyBorder="1" applyAlignment="1">
      <alignment horizontal="center" vertical="top" wrapText="1"/>
    </xf>
    <xf numFmtId="0" fontId="36" fillId="32" borderId="9" xfId="0" applyFont="1" applyFill="1" applyBorder="1" applyAlignment="1">
      <alignment horizontal="left" vertical="top" wrapText="1"/>
    </xf>
    <xf numFmtId="164" fontId="36" fillId="32" borderId="9" xfId="1" applyFont="1" applyFill="1" applyBorder="1"/>
    <xf numFmtId="0" fontId="37" fillId="32" borderId="3" xfId="0" applyFont="1" applyFill="1" applyBorder="1" applyAlignment="1">
      <alignment horizontal="center" vertical="top" wrapText="1"/>
    </xf>
    <xf numFmtId="0" fontId="37" fillId="32" borderId="3" xfId="0" applyFont="1" applyFill="1" applyBorder="1" applyAlignment="1">
      <alignment horizontal="left" vertical="top" wrapText="1"/>
    </xf>
    <xf numFmtId="164" fontId="37" fillId="32" borderId="3" xfId="1" applyFont="1" applyFill="1" applyBorder="1"/>
    <xf numFmtId="0" fontId="36" fillId="32" borderId="3" xfId="0" applyFont="1" applyFill="1" applyBorder="1" applyAlignment="1">
      <alignment horizontal="left" vertical="top" wrapText="1"/>
    </xf>
    <xf numFmtId="0" fontId="0" fillId="32" borderId="0" xfId="0" applyFill="1" applyAlignment="1">
      <alignment horizontal="right"/>
    </xf>
    <xf numFmtId="0" fontId="6" fillId="32" borderId="0" xfId="0" applyFont="1" applyFill="1"/>
    <xf numFmtId="0" fontId="6" fillId="32" borderId="0" xfId="0" applyFont="1" applyFill="1" applyAlignment="1">
      <alignment horizontal="right"/>
    </xf>
    <xf numFmtId="164" fontId="6" fillId="32" borderId="0" xfId="1" applyFont="1" applyFill="1"/>
    <xf numFmtId="0" fontId="37" fillId="32" borderId="0" xfId="0" applyFont="1" applyFill="1"/>
    <xf numFmtId="0" fontId="37" fillId="36" borderId="3" xfId="0" applyFont="1" applyFill="1" applyBorder="1" applyAlignment="1">
      <alignment horizontal="center" vertical="top" wrapText="1"/>
    </xf>
    <xf numFmtId="0" fontId="37" fillId="36" borderId="3" xfId="0" applyFont="1" applyFill="1" applyBorder="1" applyAlignment="1">
      <alignment horizontal="left" vertical="top" wrapText="1"/>
    </xf>
    <xf numFmtId="0" fontId="37" fillId="36" borderId="0" xfId="0" applyFont="1" applyFill="1"/>
    <xf numFmtId="0" fontId="0" fillId="36" borderId="0" xfId="0" applyFill="1"/>
    <xf numFmtId="0" fontId="0" fillId="36" borderId="0" xfId="0" applyFill="1" applyAlignment="1">
      <alignment horizontal="right"/>
    </xf>
    <xf numFmtId="0" fontId="37" fillId="36" borderId="24" xfId="0" applyFont="1" applyFill="1" applyBorder="1" applyAlignment="1">
      <alignment horizontal="center" vertical="top" wrapText="1"/>
    </xf>
    <xf numFmtId="0" fontId="47" fillId="36" borderId="24" xfId="0" applyFont="1" applyFill="1" applyBorder="1" applyAlignment="1">
      <alignment horizontal="center" vertical="top" wrapText="1"/>
    </xf>
    <xf numFmtId="0" fontId="36" fillId="4" borderId="0" xfId="0" applyFont="1" applyFill="1"/>
    <xf numFmtId="0" fontId="6" fillId="4" borderId="0" xfId="0" applyFont="1" applyFill="1"/>
    <xf numFmtId="0" fontId="6" fillId="4" borderId="0" xfId="0" applyFont="1" applyFill="1" applyAlignment="1">
      <alignment horizontal="right"/>
    </xf>
    <xf numFmtId="164" fontId="6" fillId="4" borderId="0" xfId="1" applyFont="1" applyFill="1"/>
    <xf numFmtId="164" fontId="43" fillId="0" borderId="6" xfId="1" applyFont="1" applyBorder="1"/>
    <xf numFmtId="164" fontId="0" fillId="4" borderId="4" xfId="1" applyFont="1" applyFill="1" applyBorder="1"/>
    <xf numFmtId="15" fontId="0" fillId="4" borderId="0" xfId="0" applyNumberFormat="1" applyFill="1"/>
    <xf numFmtId="15" fontId="0" fillId="16" borderId="0" xfId="0" applyNumberFormat="1" applyFill="1"/>
    <xf numFmtId="164" fontId="0" fillId="16" borderId="4" xfId="1" applyFont="1" applyFill="1" applyBorder="1"/>
    <xf numFmtId="164" fontId="37" fillId="0" borderId="20" xfId="1" applyFont="1" applyFill="1" applyBorder="1"/>
    <xf numFmtId="164" fontId="34" fillId="0" borderId="3" xfId="1" applyFont="1" applyBorder="1"/>
    <xf numFmtId="14" fontId="43" fillId="4" borderId="20" xfId="0" applyNumberFormat="1" applyFont="1" applyFill="1" applyBorder="1"/>
    <xf numFmtId="0" fontId="36" fillId="4" borderId="9" xfId="0" applyFont="1" applyFill="1" applyBorder="1" applyAlignment="1">
      <alignment horizontal="center" vertical="top" wrapText="1"/>
    </xf>
    <xf numFmtId="0" fontId="36" fillId="4" borderId="9" xfId="0" applyFont="1" applyFill="1" applyBorder="1" applyAlignment="1">
      <alignment horizontal="left" vertical="top" wrapText="1"/>
    </xf>
    <xf numFmtId="164" fontId="36" fillId="4" borderId="9" xfId="1" applyFont="1" applyFill="1" applyBorder="1"/>
    <xf numFmtId="0" fontId="37" fillId="0" borderId="11" xfId="0" applyFont="1" applyBorder="1"/>
    <xf numFmtId="0" fontId="0" fillId="0" borderId="11" xfId="0" applyBorder="1"/>
    <xf numFmtId="0" fontId="0" fillId="0" borderId="11" xfId="0" applyBorder="1" applyAlignment="1">
      <alignment horizontal="right"/>
    </xf>
    <xf numFmtId="164" fontId="37" fillId="0" borderId="7" xfId="1" applyFont="1" applyBorder="1"/>
    <xf numFmtId="0" fontId="37" fillId="5" borderId="0" xfId="0" applyFont="1" applyFill="1"/>
    <xf numFmtId="164" fontId="43" fillId="0" borderId="53" xfId="1" applyFont="1" applyFill="1" applyBorder="1"/>
    <xf numFmtId="164" fontId="43" fillId="0" borderId="5" xfId="1" applyFont="1" applyFill="1" applyBorder="1"/>
    <xf numFmtId="164" fontId="43" fillId="0" borderId="37" xfId="1" applyFont="1" applyFill="1" applyBorder="1"/>
    <xf numFmtId="164" fontId="43" fillId="0" borderId="5" xfId="1" applyFont="1" applyBorder="1"/>
    <xf numFmtId="9" fontId="34" fillId="8" borderId="12" xfId="0" applyNumberFormat="1" applyFont="1" applyFill="1" applyBorder="1" applyAlignment="1">
      <alignment horizontal="center"/>
    </xf>
    <xf numFmtId="164" fontId="4" fillId="0" borderId="3" xfId="1" applyFont="1" applyFill="1" applyBorder="1"/>
    <xf numFmtId="14" fontId="0" fillId="9" borderId="8" xfId="0" applyNumberFormat="1" applyFill="1" applyBorder="1" applyAlignment="1">
      <alignment horizontal="center"/>
    </xf>
    <xf numFmtId="164" fontId="4" fillId="9" borderId="3" xfId="1" applyFont="1" applyFill="1" applyBorder="1"/>
    <xf numFmtId="164" fontId="43" fillId="9" borderId="3" xfId="1" applyFont="1" applyFill="1" applyBorder="1" applyAlignment="1">
      <alignment horizontal="left"/>
    </xf>
    <xf numFmtId="164" fontId="43" fillId="9" borderId="53" xfId="1" applyFont="1" applyFill="1" applyBorder="1"/>
    <xf numFmtId="14" fontId="43" fillId="0" borderId="20" xfId="0" applyNumberFormat="1" applyFont="1" applyBorder="1"/>
    <xf numFmtId="0" fontId="0" fillId="9" borderId="0" xfId="0" applyFill="1" applyAlignment="1">
      <alignment horizontal="right"/>
    </xf>
    <xf numFmtId="0" fontId="36" fillId="9" borderId="0" xfId="0" applyFont="1" applyFill="1"/>
    <xf numFmtId="0" fontId="3" fillId="9" borderId="0" xfId="0" applyFont="1" applyFill="1"/>
    <xf numFmtId="0" fontId="3" fillId="9" borderId="0" xfId="0" applyFont="1" applyFill="1" applyAlignment="1">
      <alignment horizontal="right"/>
    </xf>
    <xf numFmtId="164" fontId="36" fillId="9" borderId="0" xfId="1" applyFont="1" applyFill="1"/>
    <xf numFmtId="0" fontId="37" fillId="9" borderId="0" xfId="0" applyFont="1" applyFill="1"/>
    <xf numFmtId="164" fontId="36" fillId="9" borderId="5" xfId="1" applyFont="1" applyFill="1" applyBorder="1"/>
    <xf numFmtId="0" fontId="37" fillId="9" borderId="6" xfId="0" applyFont="1" applyFill="1" applyBorder="1" applyAlignment="1">
      <alignment horizontal="center" vertical="top" wrapText="1"/>
    </xf>
    <xf numFmtId="0" fontId="37" fillId="9" borderId="3" xfId="0" applyFont="1" applyFill="1" applyBorder="1" applyAlignment="1">
      <alignment horizontal="left" vertical="top" wrapText="1"/>
    </xf>
    <xf numFmtId="0" fontId="36" fillId="9" borderId="3" xfId="0" applyFont="1" applyFill="1" applyBorder="1" applyAlignment="1">
      <alignment horizontal="left" vertical="top" wrapText="1"/>
    </xf>
    <xf numFmtId="14" fontId="43" fillId="38" borderId="6" xfId="0" applyNumberFormat="1" applyFont="1" applyFill="1" applyBorder="1"/>
    <xf numFmtId="0" fontId="43" fillId="38" borderId="3" xfId="0" applyFont="1" applyFill="1" applyBorder="1" applyAlignment="1">
      <alignment horizontal="center" vertical="top" wrapText="1"/>
    </xf>
    <xf numFmtId="0" fontId="43" fillId="38" borderId="3" xfId="0" applyFont="1" applyFill="1" applyBorder="1" applyAlignment="1">
      <alignment horizontal="left" vertical="top" wrapText="1"/>
    </xf>
    <xf numFmtId="164" fontId="43" fillId="38" borderId="3" xfId="1" applyFont="1" applyFill="1" applyBorder="1"/>
    <xf numFmtId="164" fontId="0" fillId="38" borderId="0" xfId="1" applyFont="1" applyFill="1"/>
    <xf numFmtId="14" fontId="43" fillId="38" borderId="3" xfId="0" applyNumberFormat="1" applyFont="1" applyFill="1" applyBorder="1"/>
    <xf numFmtId="0" fontId="37" fillId="38" borderId="0" xfId="0" applyFont="1" applyFill="1"/>
    <xf numFmtId="0" fontId="0" fillId="38" borderId="0" xfId="0" applyFill="1"/>
    <xf numFmtId="0" fontId="0" fillId="38" borderId="0" xfId="0" applyFill="1" applyAlignment="1">
      <alignment horizontal="right"/>
    </xf>
    <xf numFmtId="14" fontId="43" fillId="37" borderId="3" xfId="0" applyNumberFormat="1" applyFont="1" applyFill="1" applyBorder="1"/>
    <xf numFmtId="0" fontId="37" fillId="18" borderId="24" xfId="0" applyFont="1" applyFill="1" applyBorder="1" applyAlignment="1">
      <alignment horizontal="center" vertical="top" wrapText="1"/>
    </xf>
    <xf numFmtId="0" fontId="0" fillId="18" borderId="0" xfId="0" applyFill="1" applyAlignment="1">
      <alignment horizontal="right"/>
    </xf>
    <xf numFmtId="0" fontId="36" fillId="18" borderId="0" xfId="0" applyFont="1" applyFill="1"/>
    <xf numFmtId="0" fontId="0" fillId="18" borderId="0" xfId="0" applyFill="1"/>
    <xf numFmtId="14" fontId="43" fillId="18" borderId="6" xfId="0" applyNumberFormat="1" applyFont="1" applyFill="1" applyBorder="1"/>
    <xf numFmtId="164" fontId="37" fillId="18" borderId="5" xfId="1" applyFont="1" applyFill="1" applyBorder="1"/>
    <xf numFmtId="14" fontId="43" fillId="18" borderId="3" xfId="0" applyNumberFormat="1" applyFont="1" applyFill="1" applyBorder="1"/>
    <xf numFmtId="164" fontId="2" fillId="0" borderId="3" xfId="1" applyFont="1" applyBorder="1"/>
    <xf numFmtId="0" fontId="34" fillId="9" borderId="6" xfId="0" applyFont="1" applyFill="1" applyBorder="1"/>
    <xf numFmtId="0" fontId="34" fillId="9" borderId="5" xfId="0" applyFont="1" applyFill="1" applyBorder="1"/>
    <xf numFmtId="0" fontId="34" fillId="3" borderId="9" xfId="0" applyFont="1" applyFill="1" applyBorder="1"/>
    <xf numFmtId="0" fontId="34" fillId="19" borderId="9" xfId="0" applyFont="1" applyFill="1" applyBorder="1"/>
    <xf numFmtId="9" fontId="34" fillId="0" borderId="2" xfId="2" applyFont="1" applyBorder="1"/>
    <xf numFmtId="0" fontId="0" fillId="0" borderId="22" xfId="0" applyBorder="1"/>
    <xf numFmtId="0" fontId="0" fillId="0" borderId="39" xfId="0" applyBorder="1"/>
    <xf numFmtId="0" fontId="0" fillId="0" borderId="14" xfId="0" applyBorder="1"/>
    <xf numFmtId="0" fontId="0" fillId="0" borderId="40" xfId="0" applyBorder="1"/>
    <xf numFmtId="0" fontId="0" fillId="0" borderId="17" xfId="0" applyBorder="1"/>
    <xf numFmtId="14" fontId="43" fillId="32" borderId="9" xfId="0" applyNumberFormat="1" applyFont="1" applyFill="1" applyBorder="1"/>
    <xf numFmtId="14" fontId="43" fillId="32" borderId="3" xfId="0" applyNumberFormat="1" applyFont="1" applyFill="1" applyBorder="1"/>
    <xf numFmtId="0" fontId="36" fillId="31" borderId="3" xfId="0" applyFont="1" applyFill="1" applyBorder="1" applyAlignment="1">
      <alignment horizontal="center" vertical="top" wrapText="1"/>
    </xf>
    <xf numFmtId="164" fontId="36" fillId="31" borderId="3" xfId="1" applyFont="1" applyFill="1" applyBorder="1"/>
    <xf numFmtId="0" fontId="0" fillId="23" borderId="0" xfId="0" applyFill="1"/>
    <xf numFmtId="0" fontId="0" fillId="23" borderId="0" xfId="0" applyFill="1" applyAlignment="1">
      <alignment horizontal="right"/>
    </xf>
    <xf numFmtId="0" fontId="36" fillId="23" borderId="0" xfId="0" applyFont="1" applyFill="1"/>
    <xf numFmtId="0" fontId="0" fillId="4" borderId="0" xfId="0" applyFill="1"/>
    <xf numFmtId="0" fontId="0" fillId="4" borderId="0" xfId="0" applyFill="1" applyAlignment="1">
      <alignment horizontal="right"/>
    </xf>
    <xf numFmtId="0" fontId="37" fillId="4" borderId="9" xfId="0" applyFont="1" applyFill="1" applyBorder="1" applyAlignment="1">
      <alignment horizontal="center" vertical="top" wrapText="1"/>
    </xf>
    <xf numFmtId="14" fontId="43" fillId="10" borderId="20" xfId="0" applyNumberFormat="1" applyFont="1" applyFill="1" applyBorder="1"/>
    <xf numFmtId="0" fontId="36" fillId="10" borderId="3" xfId="0" applyFont="1" applyFill="1" applyBorder="1" applyAlignment="1">
      <alignment horizontal="center" vertical="top" wrapText="1"/>
    </xf>
    <xf numFmtId="164" fontId="36" fillId="10" borderId="0" xfId="1" applyFont="1" applyFill="1"/>
    <xf numFmtId="0" fontId="0" fillId="10" borderId="0" xfId="0" applyFill="1" applyAlignment="1">
      <alignment horizontal="right"/>
    </xf>
    <xf numFmtId="0" fontId="37" fillId="10" borderId="3" xfId="0" applyFont="1" applyFill="1" applyBorder="1" applyAlignment="1">
      <alignment horizontal="center" vertical="top" wrapText="1"/>
    </xf>
    <xf numFmtId="164" fontId="37" fillId="10" borderId="3" xfId="1" applyFont="1" applyFill="1" applyBorder="1"/>
    <xf numFmtId="164" fontId="36" fillId="10" borderId="3" xfId="1" applyFont="1" applyFill="1" applyBorder="1"/>
    <xf numFmtId="14" fontId="43" fillId="11" borderId="20" xfId="0" applyNumberFormat="1" applyFont="1" applyFill="1" applyBorder="1"/>
    <xf numFmtId="164" fontId="37" fillId="11" borderId="0" xfId="1" applyFont="1" applyFill="1"/>
    <xf numFmtId="0" fontId="36" fillId="11" borderId="0" xfId="0" applyFont="1" applyFill="1"/>
    <xf numFmtId="0" fontId="0" fillId="11" borderId="0" xfId="0" applyFill="1" applyAlignment="1">
      <alignment horizontal="right"/>
    </xf>
    <xf numFmtId="0" fontId="36" fillId="11" borderId="3" xfId="0" applyFont="1" applyFill="1" applyBorder="1" applyAlignment="1">
      <alignment horizontal="center" vertical="top" wrapText="1"/>
    </xf>
    <xf numFmtId="164" fontId="36" fillId="11" borderId="3" xfId="1" applyFont="1" applyFill="1" applyBorder="1"/>
    <xf numFmtId="14" fontId="43" fillId="21" borderId="20" xfId="0" applyNumberFormat="1" applyFont="1" applyFill="1" applyBorder="1"/>
    <xf numFmtId="0" fontId="37" fillId="21" borderId="3" xfId="0" applyFont="1" applyFill="1" applyBorder="1" applyAlignment="1">
      <alignment horizontal="center" vertical="top" wrapText="1"/>
    </xf>
    <xf numFmtId="164" fontId="37" fillId="21" borderId="0" xfId="1" applyFont="1" applyFill="1"/>
    <xf numFmtId="0" fontId="37" fillId="21" borderId="9" xfId="0" applyFont="1" applyFill="1" applyBorder="1" applyAlignment="1">
      <alignment horizontal="center" vertical="top" wrapText="1"/>
    </xf>
    <xf numFmtId="164" fontId="36" fillId="21" borderId="0" xfId="1" applyFont="1" applyFill="1"/>
    <xf numFmtId="0" fontId="36" fillId="21" borderId="9" xfId="0" applyFont="1" applyFill="1" applyBorder="1" applyAlignment="1">
      <alignment horizontal="center" vertical="top" wrapText="1"/>
    </xf>
    <xf numFmtId="164" fontId="36" fillId="21" borderId="3" xfId="1" applyFont="1" applyFill="1" applyBorder="1"/>
    <xf numFmtId="0" fontId="37" fillId="21" borderId="9" xfId="0" applyFont="1" applyFill="1" applyBorder="1" applyAlignment="1">
      <alignment horizontal="left" vertical="top" wrapText="1"/>
    </xf>
    <xf numFmtId="14" fontId="43" fillId="19" borderId="20" xfId="0" applyNumberFormat="1" applyFont="1" applyFill="1" applyBorder="1"/>
    <xf numFmtId="0" fontId="37" fillId="19" borderId="9" xfId="0" applyFont="1" applyFill="1" applyBorder="1" applyAlignment="1">
      <alignment horizontal="center" vertical="top" wrapText="1"/>
    </xf>
    <xf numFmtId="164" fontId="36" fillId="19" borderId="0" xfId="1" applyFont="1" applyFill="1"/>
    <xf numFmtId="14" fontId="0" fillId="0" borderId="28" xfId="0" applyNumberFormat="1" applyBorder="1"/>
    <xf numFmtId="0" fontId="0" fillId="0" borderId="51" xfId="0" applyBorder="1"/>
    <xf numFmtId="14" fontId="0" fillId="0" borderId="28" xfId="0" applyNumberFormat="1" applyBorder="1" applyAlignment="1">
      <alignment horizontal="center"/>
    </xf>
    <xf numFmtId="0" fontId="0" fillId="0" borderId="51" xfId="0" applyBorder="1" applyAlignment="1">
      <alignment horizontal="center"/>
    </xf>
    <xf numFmtId="0" fontId="34" fillId="10" borderId="32" xfId="0" applyFont="1" applyFill="1" applyBorder="1" applyAlignment="1">
      <alignment horizontal="center"/>
    </xf>
    <xf numFmtId="164" fontId="37" fillId="7" borderId="3" xfId="1" applyFont="1" applyFill="1" applyBorder="1" applyAlignment="1">
      <alignment horizontal="center" vertical="top" wrapText="1"/>
    </xf>
    <xf numFmtId="164" fontId="36" fillId="0" borderId="9" xfId="1" applyFont="1" applyBorder="1"/>
    <xf numFmtId="164" fontId="36" fillId="28" borderId="9" xfId="1" applyFont="1" applyFill="1" applyBorder="1" applyAlignment="1">
      <alignment horizontal="center" vertical="top" wrapText="1"/>
    </xf>
    <xf numFmtId="164" fontId="49" fillId="32" borderId="1" xfId="1" applyFont="1" applyFill="1" applyBorder="1"/>
    <xf numFmtId="0" fontId="37" fillId="10" borderId="24" xfId="0" applyFont="1" applyFill="1" applyBorder="1" applyAlignment="1">
      <alignment horizontal="center" vertical="top" wrapText="1"/>
    </xf>
    <xf numFmtId="0" fontId="47" fillId="10" borderId="24" xfId="0" applyFont="1" applyFill="1" applyBorder="1" applyAlignment="1">
      <alignment horizontal="center" vertical="top" wrapText="1"/>
    </xf>
    <xf numFmtId="0" fontId="37" fillId="20" borderId="0" xfId="0" applyFont="1" applyFill="1"/>
    <xf numFmtId="0" fontId="0" fillId="20" borderId="0" xfId="0" applyFill="1"/>
    <xf numFmtId="0" fontId="0" fillId="20" borderId="0" xfId="0" applyFill="1" applyAlignment="1">
      <alignment horizontal="right"/>
    </xf>
    <xf numFmtId="14" fontId="43" fillId="30" borderId="3" xfId="0" applyNumberFormat="1" applyFont="1" applyFill="1" applyBorder="1"/>
    <xf numFmtId="0" fontId="37" fillId="24" borderId="0" xfId="0" applyFont="1" applyFill="1"/>
    <xf numFmtId="0" fontId="0" fillId="24" borderId="0" xfId="0" applyFill="1" applyAlignment="1">
      <alignment horizontal="right"/>
    </xf>
    <xf numFmtId="14" fontId="43" fillId="16" borderId="6" xfId="0" applyNumberFormat="1" applyFont="1" applyFill="1" applyBorder="1"/>
    <xf numFmtId="0" fontId="0" fillId="16" borderId="0" xfId="0" applyFill="1" applyAlignment="1">
      <alignment horizontal="right"/>
    </xf>
    <xf numFmtId="164" fontId="36" fillId="16" borderId="3" xfId="1" applyFont="1" applyFill="1" applyBorder="1" applyAlignment="1">
      <alignment horizontal="center" vertical="top" wrapText="1"/>
    </xf>
    <xf numFmtId="164" fontId="36" fillId="16" borderId="3" xfId="1" applyFont="1" applyFill="1" applyBorder="1"/>
    <xf numFmtId="164" fontId="37" fillId="16" borderId="3" xfId="1" applyFont="1" applyFill="1" applyBorder="1" applyAlignment="1">
      <alignment horizontal="center" vertical="top" wrapText="1"/>
    </xf>
    <xf numFmtId="0" fontId="36" fillId="16" borderId="0" xfId="0" applyFont="1" applyFill="1"/>
    <xf numFmtId="164" fontId="37" fillId="19" borderId="9" xfId="1" applyFont="1" applyFill="1" applyBorder="1"/>
    <xf numFmtId="164" fontId="37" fillId="19" borderId="13" xfId="1" applyFont="1" applyFill="1" applyBorder="1"/>
    <xf numFmtId="164" fontId="36" fillId="4" borderId="5" xfId="1" applyFont="1" applyFill="1" applyBorder="1"/>
    <xf numFmtId="0" fontId="5" fillId="0" borderId="0" xfId="0" applyFont="1"/>
    <xf numFmtId="0" fontId="5" fillId="0" borderId="0" xfId="0" applyFont="1" applyAlignment="1">
      <alignment horizontal="right"/>
    </xf>
    <xf numFmtId="164" fontId="5" fillId="0" borderId="0" xfId="1" applyFont="1" applyFill="1"/>
    <xf numFmtId="0" fontId="36" fillId="0" borderId="24" xfId="0" applyFont="1" applyBorder="1" applyAlignment="1">
      <alignment horizontal="center" vertical="top" wrapText="1"/>
    </xf>
    <xf numFmtId="0" fontId="37" fillId="0" borderId="24" xfId="0" applyFont="1" applyBorder="1" applyAlignment="1">
      <alignment horizontal="center" vertical="top" wrapText="1"/>
    </xf>
    <xf numFmtId="164" fontId="37" fillId="0" borderId="0" xfId="1" applyFont="1" applyFill="1"/>
    <xf numFmtId="0" fontId="47" fillId="0" borderId="24" xfId="0" applyFont="1" applyBorder="1" applyAlignment="1">
      <alignment horizontal="center" vertical="top" wrapText="1"/>
    </xf>
    <xf numFmtId="0" fontId="37" fillId="30" borderId="9" xfId="0" applyFont="1" applyFill="1" applyBorder="1" applyAlignment="1">
      <alignment horizontal="center" vertical="top" wrapText="1"/>
    </xf>
    <xf numFmtId="164" fontId="37" fillId="30" borderId="9" xfId="1" applyFont="1" applyFill="1" applyBorder="1"/>
    <xf numFmtId="0" fontId="37" fillId="30" borderId="24" xfId="0" applyFont="1" applyFill="1" applyBorder="1" applyAlignment="1">
      <alignment horizontal="center" vertical="top" wrapText="1"/>
    </xf>
    <xf numFmtId="14" fontId="43" fillId="25" borderId="6" xfId="0" applyNumberFormat="1" applyFont="1" applyFill="1" applyBorder="1"/>
    <xf numFmtId="164" fontId="36" fillId="25" borderId="9" xfId="1" applyFont="1" applyFill="1" applyBorder="1" applyAlignment="1">
      <alignment horizontal="center" vertical="top" wrapText="1"/>
    </xf>
    <xf numFmtId="0" fontId="36" fillId="25" borderId="0" xfId="0" applyFont="1" applyFill="1"/>
    <xf numFmtId="164" fontId="36" fillId="24" borderId="9" xfId="1" applyFont="1" applyFill="1" applyBorder="1" applyAlignment="1">
      <alignment horizontal="center" vertical="top" wrapText="1"/>
    </xf>
    <xf numFmtId="164" fontId="37" fillId="24" borderId="9" xfId="1" applyFont="1" applyFill="1" applyBorder="1"/>
    <xf numFmtId="164" fontId="37" fillId="24" borderId="3" xfId="1" applyFont="1" applyFill="1" applyBorder="1" applyAlignment="1">
      <alignment horizontal="center" vertical="top" wrapText="1"/>
    </xf>
    <xf numFmtId="164" fontId="37" fillId="18" borderId="3" xfId="1" applyFont="1" applyFill="1" applyBorder="1"/>
    <xf numFmtId="0" fontId="37" fillId="20" borderId="9" xfId="0" applyFont="1" applyFill="1" applyBorder="1" applyAlignment="1">
      <alignment horizontal="center" vertical="top" wrapText="1"/>
    </xf>
    <xf numFmtId="164" fontId="37" fillId="20" borderId="9" xfId="1" applyFont="1" applyFill="1" applyBorder="1"/>
    <xf numFmtId="0" fontId="36" fillId="20" borderId="24" xfId="0" applyFont="1" applyFill="1" applyBorder="1" applyAlignment="1">
      <alignment horizontal="center" vertical="top" wrapText="1"/>
    </xf>
    <xf numFmtId="0" fontId="1" fillId="20" borderId="0" xfId="0" applyFont="1" applyFill="1"/>
    <xf numFmtId="164" fontId="1" fillId="20" borderId="0" xfId="1" applyFont="1" applyFill="1"/>
    <xf numFmtId="0" fontId="36" fillId="20" borderId="0" xfId="0" applyFont="1" applyFill="1"/>
    <xf numFmtId="164" fontId="36" fillId="20" borderId="3" xfId="1" applyFont="1" applyFill="1" applyBorder="1" applyAlignment="1">
      <alignment horizontal="center" vertical="top" wrapText="1"/>
    </xf>
    <xf numFmtId="164" fontId="36" fillId="5" borderId="3" xfId="1" applyFont="1" applyFill="1" applyBorder="1" applyAlignment="1">
      <alignment horizontal="center" vertical="top" wrapText="1"/>
    </xf>
    <xf numFmtId="164" fontId="37" fillId="5" borderId="3" xfId="1" applyFont="1" applyFill="1" applyBorder="1" applyAlignment="1">
      <alignment horizontal="center" vertical="top" wrapText="1"/>
    </xf>
    <xf numFmtId="164" fontId="37" fillId="4" borderId="9" xfId="1" applyFont="1" applyFill="1" applyBorder="1"/>
    <xf numFmtId="164" fontId="36" fillId="4" borderId="3" xfId="1" applyFont="1" applyFill="1" applyBorder="1" applyAlignment="1">
      <alignment horizontal="center" vertical="top" wrapText="1"/>
    </xf>
    <xf numFmtId="164" fontId="36" fillId="30" borderId="3" xfId="1" applyFont="1" applyFill="1" applyBorder="1" applyAlignment="1">
      <alignment horizontal="center" vertical="top" wrapText="1"/>
    </xf>
    <xf numFmtId="164" fontId="37" fillId="30" borderId="3" xfId="1" applyFont="1" applyFill="1" applyBorder="1" applyAlignment="1">
      <alignment horizontal="center" vertical="top" wrapText="1"/>
    </xf>
    <xf numFmtId="0" fontId="36" fillId="30" borderId="9" xfId="0" applyFont="1" applyFill="1" applyBorder="1" applyAlignment="1">
      <alignment horizontal="center" vertical="top" wrapText="1"/>
    </xf>
    <xf numFmtId="164" fontId="36" fillId="30" borderId="9" xfId="1" applyFont="1" applyFill="1" applyBorder="1"/>
    <xf numFmtId="164" fontId="36" fillId="30" borderId="9" xfId="1" applyFont="1" applyFill="1" applyBorder="1" applyAlignment="1">
      <alignment horizontal="center" vertical="top" wrapText="1"/>
    </xf>
    <xf numFmtId="164" fontId="37" fillId="17" borderId="9" xfId="1" applyFont="1" applyFill="1" applyBorder="1" applyAlignment="1">
      <alignment horizontal="center" vertical="top" wrapText="1"/>
    </xf>
    <xf numFmtId="0" fontId="37" fillId="4" borderId="0" xfId="0" applyFont="1" applyFill="1"/>
    <xf numFmtId="164" fontId="37" fillId="4" borderId="3" xfId="1" applyFont="1" applyFill="1" applyBorder="1" applyAlignment="1">
      <alignment horizontal="center" vertical="top" wrapText="1"/>
    </xf>
    <xf numFmtId="164" fontId="36" fillId="4" borderId="9" xfId="1" applyFont="1" applyFill="1" applyBorder="1" applyAlignment="1">
      <alignment horizontal="center" vertical="top" wrapText="1"/>
    </xf>
    <xf numFmtId="164" fontId="37" fillId="19" borderId="9" xfId="1" applyFont="1" applyFill="1" applyBorder="1" applyAlignment="1">
      <alignment horizontal="center" vertical="top" wrapText="1"/>
    </xf>
    <xf numFmtId="164" fontId="37" fillId="19" borderId="3" xfId="1" applyFont="1" applyFill="1" applyBorder="1" applyAlignment="1">
      <alignment horizontal="center" vertical="top" wrapText="1"/>
    </xf>
    <xf numFmtId="14" fontId="43" fillId="22" borderId="6" xfId="0" applyNumberFormat="1" applyFont="1" applyFill="1" applyBorder="1"/>
    <xf numFmtId="164" fontId="36" fillId="22" borderId="3" xfId="1" applyFont="1" applyFill="1" applyBorder="1" applyAlignment="1">
      <alignment horizontal="center" vertical="top" wrapText="1"/>
    </xf>
    <xf numFmtId="164" fontId="36" fillId="22" borderId="3" xfId="1" applyFont="1" applyFill="1" applyBorder="1"/>
    <xf numFmtId="164" fontId="37" fillId="22" borderId="3" xfId="1" applyFont="1" applyFill="1" applyBorder="1" applyAlignment="1">
      <alignment horizontal="center" vertical="top" wrapText="1"/>
    </xf>
    <xf numFmtId="164" fontId="37" fillId="22" borderId="3" xfId="1" applyFont="1" applyFill="1" applyBorder="1"/>
    <xf numFmtId="164" fontId="36" fillId="9" borderId="21" xfId="1" applyFont="1" applyFill="1" applyBorder="1"/>
    <xf numFmtId="164" fontId="37" fillId="9" borderId="3" xfId="1" applyFont="1" applyFill="1" applyBorder="1" applyAlignment="1">
      <alignment horizontal="center" vertical="top" wrapText="1"/>
    </xf>
    <xf numFmtId="164" fontId="37" fillId="9" borderId="9" xfId="1" applyFont="1" applyFill="1" applyBorder="1" applyAlignment="1">
      <alignment horizontal="center" vertical="top" wrapText="1"/>
    </xf>
    <xf numFmtId="164" fontId="37" fillId="9" borderId="9" xfId="1" applyFont="1" applyFill="1" applyBorder="1"/>
    <xf numFmtId="164" fontId="36" fillId="9" borderId="9" xfId="1" applyFont="1" applyFill="1" applyBorder="1" applyAlignment="1">
      <alignment horizontal="center" vertical="top" wrapText="1"/>
    </xf>
    <xf numFmtId="164" fontId="37" fillId="16" borderId="9" xfId="1" applyFont="1" applyFill="1" applyBorder="1" applyAlignment="1">
      <alignment horizontal="center" vertical="top" wrapText="1"/>
    </xf>
    <xf numFmtId="164" fontId="36" fillId="28" borderId="24" xfId="1" applyFont="1" applyFill="1" applyBorder="1" applyAlignment="1">
      <alignment horizontal="center" vertical="top" wrapText="1"/>
    </xf>
    <xf numFmtId="164" fontId="37" fillId="7" borderId="24" xfId="1" applyFont="1" applyFill="1" applyBorder="1" applyAlignment="1">
      <alignment horizontal="center" vertical="top" wrapText="1"/>
    </xf>
    <xf numFmtId="164" fontId="37" fillId="7" borderId="46" xfId="1" applyFont="1" applyFill="1" applyBorder="1" applyAlignment="1">
      <alignment horizontal="center" vertical="top" wrapText="1"/>
    </xf>
    <xf numFmtId="14" fontId="43" fillId="0" borderId="9" xfId="0" applyNumberFormat="1" applyFont="1" applyBorder="1"/>
    <xf numFmtId="0" fontId="37" fillId="7" borderId="9" xfId="0" applyFont="1" applyFill="1" applyBorder="1" applyAlignment="1">
      <alignment horizontal="center" vertical="top" wrapText="1"/>
    </xf>
    <xf numFmtId="0" fontId="36" fillId="28" borderId="9" xfId="0" applyFont="1" applyFill="1" applyBorder="1" applyAlignment="1">
      <alignment horizontal="center" vertical="top" wrapText="1"/>
    </xf>
    <xf numFmtId="0" fontId="34" fillId="0" borderId="0" xfId="0" applyFont="1" applyAlignment="1">
      <alignment horizontal="center"/>
    </xf>
    <xf numFmtId="0" fontId="34" fillId="10" borderId="3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164" fontId="34" fillId="0" borderId="3" xfId="1" applyFont="1" applyFill="1" applyBorder="1" applyAlignment="1">
      <alignment horizontal="center" vertical="center"/>
    </xf>
    <xf numFmtId="0" fontId="33" fillId="16" borderId="0" xfId="0" applyFont="1" applyFill="1" applyAlignment="1">
      <alignment horizontal="center" vertical="center"/>
    </xf>
    <xf numFmtId="0" fontId="34" fillId="8" borderId="29" xfId="0" applyFont="1" applyFill="1" applyBorder="1" applyAlignment="1">
      <alignment horizontal="center" vertical="center"/>
    </xf>
    <xf numFmtId="0" fontId="34" fillId="8" borderId="30" xfId="0" applyFont="1" applyFill="1" applyBorder="1" applyAlignment="1">
      <alignment horizontal="center" vertical="center"/>
    </xf>
    <xf numFmtId="0" fontId="34" fillId="8" borderId="31" xfId="0" applyFont="1" applyFill="1" applyBorder="1" applyAlignment="1">
      <alignment horizontal="center" vertical="center"/>
    </xf>
    <xf numFmtId="0" fontId="34" fillId="8" borderId="16" xfId="0" applyFont="1" applyFill="1" applyBorder="1" applyAlignment="1">
      <alignment horizontal="center" vertical="center"/>
    </xf>
    <xf numFmtId="164" fontId="34" fillId="8" borderId="31" xfId="1" applyFont="1" applyFill="1" applyBorder="1" applyAlignment="1">
      <alignment horizontal="center" vertical="center"/>
    </xf>
    <xf numFmtId="164" fontId="34" fillId="8" borderId="16" xfId="1" applyFont="1" applyFill="1" applyBorder="1" applyAlignment="1">
      <alignment horizontal="center" vertical="center"/>
    </xf>
    <xf numFmtId="0" fontId="34" fillId="8" borderId="32" xfId="0" applyFont="1" applyFill="1" applyBorder="1" applyAlignment="1">
      <alignment horizontal="center" vertical="center"/>
    </xf>
    <xf numFmtId="0" fontId="34" fillId="8" borderId="33" xfId="0" applyFont="1" applyFill="1" applyBorder="1" applyAlignment="1">
      <alignment horizontal="center" vertical="center"/>
    </xf>
    <xf numFmtId="0" fontId="34" fillId="8" borderId="34" xfId="0" applyFont="1" applyFill="1" applyBorder="1" applyAlignment="1">
      <alignment horizontal="center" vertical="center"/>
    </xf>
    <xf numFmtId="164" fontId="34" fillId="8" borderId="35" xfId="1" applyFont="1" applyFill="1" applyBorder="1" applyAlignment="1">
      <alignment horizontal="center" vertical="center"/>
    </xf>
    <xf numFmtId="164" fontId="34" fillId="8" borderId="36" xfId="1" applyFont="1" applyFill="1" applyBorder="1" applyAlignment="1">
      <alignment horizontal="center" vertical="center"/>
    </xf>
    <xf numFmtId="0" fontId="34" fillId="8" borderId="35" xfId="0" applyFont="1" applyFill="1" applyBorder="1" applyAlignment="1">
      <alignment horizontal="center" vertical="center"/>
    </xf>
    <xf numFmtId="0" fontId="34" fillId="8" borderId="36" xfId="0" applyFont="1" applyFill="1" applyBorder="1" applyAlignment="1">
      <alignment horizontal="center" vertical="center"/>
    </xf>
    <xf numFmtId="0" fontId="34" fillId="8" borderId="2" xfId="0" applyFont="1" applyFill="1" applyBorder="1" applyAlignment="1">
      <alignment horizontal="center" vertical="center"/>
    </xf>
    <xf numFmtId="0" fontId="34" fillId="8" borderId="1" xfId="0" applyFont="1" applyFill="1" applyBorder="1" applyAlignment="1">
      <alignment horizontal="center" vertical="center"/>
    </xf>
    <xf numFmtId="0" fontId="33" fillId="16" borderId="10" xfId="0" applyFont="1" applyFill="1" applyBorder="1" applyAlignment="1">
      <alignment horizontal="center" vertical="center"/>
    </xf>
    <xf numFmtId="0" fontId="33" fillId="16" borderId="11" xfId="0" applyFont="1" applyFill="1" applyBorder="1" applyAlignment="1">
      <alignment horizontal="center" vertical="center"/>
    </xf>
    <xf numFmtId="0" fontId="33" fillId="16" borderId="7" xfId="0" applyFont="1" applyFill="1" applyBorder="1" applyAlignment="1">
      <alignment horizontal="center" vertical="center"/>
    </xf>
    <xf numFmtId="0" fontId="34" fillId="8" borderId="41" xfId="0" applyFont="1" applyFill="1" applyBorder="1" applyAlignment="1">
      <alignment horizontal="center" vertical="center"/>
    </xf>
    <xf numFmtId="0" fontId="34" fillId="8" borderId="42" xfId="0" applyFont="1" applyFill="1" applyBorder="1" applyAlignment="1">
      <alignment horizontal="center" vertical="center"/>
    </xf>
    <xf numFmtId="164" fontId="34" fillId="8" borderId="42" xfId="1" applyFont="1" applyFill="1" applyBorder="1" applyAlignment="1">
      <alignment horizontal="center" vertical="center"/>
    </xf>
    <xf numFmtId="0" fontId="34" fillId="8" borderId="43" xfId="0" applyFont="1" applyFill="1" applyBorder="1" applyAlignment="1">
      <alignment horizontal="center" vertical="center"/>
    </xf>
    <xf numFmtId="0" fontId="34" fillId="8" borderId="44" xfId="0" applyFont="1" applyFill="1" applyBorder="1" applyAlignment="1">
      <alignment horizontal="center" vertical="center"/>
    </xf>
    <xf numFmtId="0" fontId="34" fillId="8" borderId="45" xfId="0" applyFont="1" applyFill="1" applyBorder="1" applyAlignment="1">
      <alignment horizontal="center" vertical="center"/>
    </xf>
    <xf numFmtId="0" fontId="34" fillId="8" borderId="28" xfId="0" applyFont="1" applyFill="1" applyBorder="1" applyAlignment="1">
      <alignment horizontal="center" vertical="center"/>
    </xf>
    <xf numFmtId="0" fontId="34" fillId="8" borderId="12" xfId="0" applyFont="1" applyFill="1" applyBorder="1" applyAlignment="1">
      <alignment horizontal="center" vertical="center"/>
    </xf>
    <xf numFmtId="0" fontId="34" fillId="8" borderId="50" xfId="0" applyFont="1" applyFill="1" applyBorder="1" applyAlignment="1">
      <alignment horizontal="center" vertical="center"/>
    </xf>
    <xf numFmtId="0" fontId="34" fillId="8" borderId="51" xfId="0" applyFont="1" applyFill="1" applyBorder="1" applyAlignment="1">
      <alignment horizontal="center" vertical="center"/>
    </xf>
    <xf numFmtId="164" fontId="34" fillId="8" borderId="50" xfId="1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34" fillId="5" borderId="10" xfId="0" applyFont="1" applyFill="1" applyBorder="1" applyAlignment="1">
      <alignment horizontal="center"/>
    </xf>
    <xf numFmtId="0" fontId="34" fillId="5" borderId="11" xfId="0" applyFont="1" applyFill="1" applyBorder="1" applyAlignment="1">
      <alignment horizontal="center"/>
    </xf>
    <xf numFmtId="0" fontId="34" fillId="5" borderId="7" xfId="0" applyFont="1" applyFill="1" applyBorder="1" applyAlignment="1">
      <alignment horizontal="center"/>
    </xf>
    <xf numFmtId="0" fontId="34" fillId="8" borderId="10" xfId="0" applyFont="1" applyFill="1" applyBorder="1" applyAlignment="1">
      <alignment horizontal="center"/>
    </xf>
    <xf numFmtId="0" fontId="34" fillId="8" borderId="11" xfId="0" applyFont="1" applyFill="1" applyBorder="1" applyAlignment="1">
      <alignment horizontal="center"/>
    </xf>
    <xf numFmtId="0" fontId="34" fillId="8" borderId="7" xfId="0" applyFont="1" applyFill="1" applyBorder="1" applyAlignment="1">
      <alignment horizontal="center"/>
    </xf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30"/>
  <sheetViews>
    <sheetView topLeftCell="A15" workbookViewId="0">
      <selection activeCell="L13" sqref="L13"/>
    </sheetView>
  </sheetViews>
  <sheetFormatPr defaultRowHeight="15" x14ac:dyDescent="0.25"/>
  <cols>
    <col min="1" max="1" width="1.85546875" customWidth="1"/>
    <col min="2" max="2" width="4.7109375" customWidth="1"/>
    <col min="3" max="3" width="13.140625" customWidth="1"/>
    <col min="5" max="5" width="10.28515625" customWidth="1"/>
    <col min="8" max="8" width="10.5703125" bestFit="1" customWidth="1"/>
    <col min="9" max="9" width="12.28515625" customWidth="1"/>
    <col min="10" max="10" width="16.28515625" customWidth="1"/>
    <col min="11" max="11" width="11.7109375" customWidth="1"/>
    <col min="12" max="12" width="14.7109375" customWidth="1"/>
    <col min="13" max="13" width="13.140625" customWidth="1"/>
    <col min="16" max="16" width="12.140625" customWidth="1"/>
    <col min="17" max="17" width="11.85546875" customWidth="1"/>
    <col min="19" max="19" width="12.7109375" customWidth="1"/>
    <col min="21" max="21" width="13" customWidth="1"/>
    <col min="22" max="22" width="18.7109375" customWidth="1"/>
    <col min="23" max="23" width="22.85546875" customWidth="1"/>
    <col min="24" max="24" width="24" customWidth="1"/>
    <col min="25" max="25" width="10.7109375" customWidth="1"/>
    <col min="27" max="27" width="9.7109375" customWidth="1"/>
    <col min="28" max="28" width="9.140625" style="33"/>
    <col min="29" max="29" width="10.5703125" bestFit="1" customWidth="1"/>
  </cols>
  <sheetData>
    <row r="1" spans="1:19" x14ac:dyDescent="0.25">
      <c r="B1" s="22"/>
      <c r="C1" s="22"/>
      <c r="D1" s="22"/>
      <c r="E1" s="22"/>
      <c r="F1" s="22"/>
      <c r="G1" s="22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9" ht="30.75" x14ac:dyDescent="0.45">
      <c r="B2" s="24" t="s">
        <v>78</v>
      </c>
      <c r="C2" s="24"/>
      <c r="D2" s="24"/>
      <c r="E2" s="24"/>
      <c r="F2" s="24"/>
      <c r="G2" s="24"/>
      <c r="H2" s="25"/>
      <c r="I2" s="25"/>
      <c r="J2" s="25"/>
      <c r="K2" s="25"/>
      <c r="L2" s="25"/>
      <c r="M2" s="26"/>
      <c r="N2" s="26"/>
      <c r="O2" s="26"/>
      <c r="P2" s="26"/>
      <c r="Q2" s="26"/>
    </row>
    <row r="3" spans="1:19" x14ac:dyDescent="0.25">
      <c r="A3" s="21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9" ht="16.5" thickBot="1" x14ac:dyDescent="0.3">
      <c r="A4" s="21"/>
      <c r="B4" s="1183" t="s">
        <v>17</v>
      </c>
      <c r="C4" s="1183"/>
      <c r="D4" s="1183"/>
      <c r="E4" s="1183"/>
      <c r="F4" s="1183"/>
      <c r="G4" s="1183"/>
      <c r="H4" s="1183"/>
      <c r="I4" s="1183"/>
      <c r="J4" s="1183"/>
      <c r="K4" s="1183"/>
      <c r="L4" s="1183"/>
      <c r="M4" s="1183"/>
      <c r="N4" s="1183"/>
      <c r="O4" s="1183"/>
      <c r="P4" s="1183"/>
      <c r="Q4" s="1183"/>
    </row>
    <row r="5" spans="1:19" x14ac:dyDescent="0.25">
      <c r="A5" s="21"/>
      <c r="B5" s="1184" t="s">
        <v>12</v>
      </c>
      <c r="C5" s="1184" t="s">
        <v>0</v>
      </c>
      <c r="D5" s="1185" t="s">
        <v>1</v>
      </c>
      <c r="E5" s="1184" t="s">
        <v>2</v>
      </c>
      <c r="F5" s="1184"/>
      <c r="G5" s="1184"/>
      <c r="H5" s="1184"/>
      <c r="I5" s="1185" t="s">
        <v>3</v>
      </c>
      <c r="J5" s="1185" t="s">
        <v>4</v>
      </c>
      <c r="K5" s="1185" t="s">
        <v>5</v>
      </c>
      <c r="L5" s="1184" t="s">
        <v>6</v>
      </c>
      <c r="M5" s="1184" t="s">
        <v>7</v>
      </c>
      <c r="N5" s="1184" t="s">
        <v>8</v>
      </c>
      <c r="O5" s="1184" t="s">
        <v>9</v>
      </c>
      <c r="P5" s="1184" t="s">
        <v>10</v>
      </c>
      <c r="Q5" s="1184" t="s">
        <v>11</v>
      </c>
      <c r="S5" s="6" t="s">
        <v>18</v>
      </c>
    </row>
    <row r="6" spans="1:19" ht="15.75" thickBot="1" x14ac:dyDescent="0.3">
      <c r="A6" s="21"/>
      <c r="B6" s="1184"/>
      <c r="C6" s="1184"/>
      <c r="D6" s="1185"/>
      <c r="E6" s="32" t="s">
        <v>13</v>
      </c>
      <c r="F6" s="32" t="s">
        <v>14</v>
      </c>
      <c r="G6" s="32" t="s">
        <v>15</v>
      </c>
      <c r="H6" s="32" t="s">
        <v>16</v>
      </c>
      <c r="I6" s="1185"/>
      <c r="J6" s="1185"/>
      <c r="K6" s="1185"/>
      <c r="L6" s="1184"/>
      <c r="M6" s="1184"/>
      <c r="N6" s="1184"/>
      <c r="O6" s="1184"/>
      <c r="P6" s="1184"/>
      <c r="Q6" s="1184"/>
      <c r="S6" s="7" t="s">
        <v>19</v>
      </c>
    </row>
    <row r="7" spans="1:19" ht="15.75" customHeight="1" x14ac:dyDescent="0.25">
      <c r="A7" s="21"/>
      <c r="B7" s="1">
        <v>1</v>
      </c>
      <c r="C7" s="8">
        <v>45976</v>
      </c>
      <c r="D7" s="2">
        <v>7</v>
      </c>
      <c r="E7" s="2">
        <v>112110</v>
      </c>
      <c r="F7" s="2">
        <v>64640</v>
      </c>
      <c r="G7" s="2">
        <v>0</v>
      </c>
      <c r="H7" s="2">
        <v>0</v>
      </c>
      <c r="I7" s="3">
        <f>+E7+F7+G7+H7</f>
        <v>176750</v>
      </c>
      <c r="J7" s="2">
        <v>111100</v>
      </c>
      <c r="K7" s="34">
        <f>+I7-J7</f>
        <v>65650</v>
      </c>
      <c r="L7" s="3">
        <f>+J7+K7</f>
        <v>176750</v>
      </c>
      <c r="M7" s="2">
        <v>7000</v>
      </c>
      <c r="N7" s="3">
        <v>0</v>
      </c>
      <c r="O7" s="3">
        <v>0</v>
      </c>
      <c r="P7" s="3">
        <f>+L7-M7-N7-O7</f>
        <v>169750</v>
      </c>
      <c r="Q7" s="3">
        <f>+P7*30%</f>
        <v>50925</v>
      </c>
      <c r="S7" s="5">
        <f>+L7-Q7</f>
        <v>125825</v>
      </c>
    </row>
    <row r="8" spans="1:19" x14ac:dyDescent="0.25">
      <c r="A8" s="21"/>
      <c r="B8" s="28">
        <v>2</v>
      </c>
      <c r="C8" s="29">
        <v>45977</v>
      </c>
      <c r="D8" s="30">
        <v>3</v>
      </c>
      <c r="E8" s="30">
        <v>105848</v>
      </c>
      <c r="F8" s="30"/>
      <c r="G8" s="30"/>
      <c r="H8" s="30">
        <v>2316600</v>
      </c>
      <c r="I8" s="30">
        <f t="shared" ref="I8:I23" si="0">+E8+F8+G8+H8</f>
        <v>2422448</v>
      </c>
      <c r="J8" s="30">
        <v>2395784</v>
      </c>
      <c r="K8" s="30">
        <f t="shared" ref="K8:K10" si="1">+I8-J8</f>
        <v>26664</v>
      </c>
      <c r="L8" s="30">
        <f t="shared" ref="L8:L23" si="2">+J8+K8</f>
        <v>2422448</v>
      </c>
      <c r="M8" s="30">
        <v>31250</v>
      </c>
      <c r="N8" s="30">
        <v>50000</v>
      </c>
      <c r="O8" s="30"/>
      <c r="P8" s="30">
        <f t="shared" ref="P8:P22" si="3">+L8-M8-N8-O8</f>
        <v>2341198</v>
      </c>
      <c r="Q8" s="30">
        <f t="shared" ref="Q8:Q15" si="4">+P8*30%</f>
        <v>702359.4</v>
      </c>
      <c r="S8" s="5">
        <f>+L8-Q8</f>
        <v>1720088.6</v>
      </c>
    </row>
    <row r="9" spans="1:19" x14ac:dyDescent="0.25">
      <c r="A9" s="21"/>
      <c r="B9" s="1">
        <v>3</v>
      </c>
      <c r="C9" s="8">
        <v>45978</v>
      </c>
      <c r="D9" s="2">
        <v>10</v>
      </c>
      <c r="E9" s="2">
        <v>663604</v>
      </c>
      <c r="F9" s="2">
        <v>182400</v>
      </c>
      <c r="G9" s="2"/>
      <c r="H9" s="2"/>
      <c r="I9" s="3">
        <f t="shared" si="0"/>
        <v>846004</v>
      </c>
      <c r="J9" s="2">
        <v>602799</v>
      </c>
      <c r="K9" s="34">
        <f t="shared" si="1"/>
        <v>243205</v>
      </c>
      <c r="L9" s="3">
        <f t="shared" si="2"/>
        <v>846004</v>
      </c>
      <c r="M9" s="2">
        <v>22000</v>
      </c>
      <c r="N9" s="3"/>
      <c r="O9" s="3">
        <v>19027</v>
      </c>
      <c r="P9" s="3">
        <f t="shared" si="3"/>
        <v>804977</v>
      </c>
      <c r="Q9" s="3">
        <f t="shared" si="4"/>
        <v>241493.09999999998</v>
      </c>
      <c r="S9" s="5">
        <f>+L9-Q9</f>
        <v>604510.9</v>
      </c>
    </row>
    <row r="10" spans="1:19" x14ac:dyDescent="0.25">
      <c r="A10" s="21"/>
      <c r="B10" s="1">
        <v>4</v>
      </c>
      <c r="C10" s="8">
        <v>45979</v>
      </c>
      <c r="D10" s="2">
        <v>17</v>
      </c>
      <c r="E10" s="2">
        <v>1587013</v>
      </c>
      <c r="F10" s="2">
        <v>388648</v>
      </c>
      <c r="G10" s="2">
        <v>30800</v>
      </c>
      <c r="H10" s="2"/>
      <c r="I10" s="3">
        <f t="shared" si="0"/>
        <v>2006461</v>
      </c>
      <c r="J10" s="2">
        <v>1888493</v>
      </c>
      <c r="K10" s="34">
        <f t="shared" si="1"/>
        <v>117968</v>
      </c>
      <c r="L10" s="3">
        <f t="shared" si="2"/>
        <v>2006461</v>
      </c>
      <c r="M10" s="2">
        <f>67000+12250</f>
        <v>79250</v>
      </c>
      <c r="N10" s="3"/>
      <c r="O10" s="3"/>
      <c r="P10" s="3">
        <f t="shared" si="3"/>
        <v>1927211</v>
      </c>
      <c r="Q10" s="3">
        <f>+P10*30%-R10</f>
        <v>572053.29999999993</v>
      </c>
      <c r="R10">
        <v>6110</v>
      </c>
      <c r="S10" s="5">
        <f>+L10-Q10</f>
        <v>1434407.7000000002</v>
      </c>
    </row>
    <row r="11" spans="1:19" ht="15.75" customHeight="1" x14ac:dyDescent="0.25">
      <c r="A11" s="21"/>
      <c r="B11" s="1">
        <v>5</v>
      </c>
      <c r="C11" s="8">
        <v>45980</v>
      </c>
      <c r="D11" s="2">
        <v>16</v>
      </c>
      <c r="E11" s="2">
        <v>1110802</v>
      </c>
      <c r="F11" s="2"/>
      <c r="G11" s="2">
        <v>30800</v>
      </c>
      <c r="H11" s="2">
        <v>1577150</v>
      </c>
      <c r="I11" s="3">
        <f t="shared" si="0"/>
        <v>2718752</v>
      </c>
      <c r="J11" s="2">
        <v>2538770</v>
      </c>
      <c r="K11" s="34">
        <f>+I11-J11</f>
        <v>179982</v>
      </c>
      <c r="L11" s="3">
        <f t="shared" si="2"/>
        <v>2718752</v>
      </c>
      <c r="M11" s="2">
        <f>6250+79500</f>
        <v>85750</v>
      </c>
      <c r="N11" s="3">
        <v>50000</v>
      </c>
      <c r="O11" s="3">
        <v>40000</v>
      </c>
      <c r="P11" s="3">
        <f t="shared" si="3"/>
        <v>2543002</v>
      </c>
      <c r="Q11" s="3">
        <f>+P11*30%-R11</f>
        <v>756789.6</v>
      </c>
      <c r="R11">
        <v>6111</v>
      </c>
      <c r="S11" s="5">
        <f>+L11-Q11</f>
        <v>1961962.4</v>
      </c>
    </row>
    <row r="12" spans="1:19" ht="15" customHeight="1" x14ac:dyDescent="0.25">
      <c r="A12" s="21"/>
      <c r="B12" s="1">
        <v>6</v>
      </c>
      <c r="C12" s="8">
        <v>45981</v>
      </c>
      <c r="D12" s="2">
        <v>18</v>
      </c>
      <c r="E12" s="20">
        <v>1156249</v>
      </c>
      <c r="F12" s="20">
        <v>131300</v>
      </c>
      <c r="G12" s="20">
        <v>30800</v>
      </c>
      <c r="H12" s="20">
        <v>1424450</v>
      </c>
      <c r="I12" s="3">
        <f t="shared" si="0"/>
        <v>2742799</v>
      </c>
      <c r="J12" s="20">
        <v>2312842</v>
      </c>
      <c r="K12" s="3">
        <f>+I12-J12</f>
        <v>429957</v>
      </c>
      <c r="L12" s="3">
        <f t="shared" si="2"/>
        <v>2742799</v>
      </c>
      <c r="M12" s="2">
        <f>96750+14750</f>
        <v>111500</v>
      </c>
      <c r="N12" s="3">
        <v>50000</v>
      </c>
      <c r="O12" s="3"/>
      <c r="P12" s="3">
        <f t="shared" si="3"/>
        <v>2581299</v>
      </c>
      <c r="Q12" s="3">
        <f t="shared" si="4"/>
        <v>774389.7</v>
      </c>
      <c r="S12" s="5">
        <f t="shared" ref="S12:S22" si="5">+L12-Q12</f>
        <v>1968409.3</v>
      </c>
    </row>
    <row r="13" spans="1:19" ht="16.5" customHeight="1" x14ac:dyDescent="0.25">
      <c r="A13" s="21"/>
      <c r="B13" s="1">
        <v>7</v>
      </c>
      <c r="C13" s="8">
        <v>45982</v>
      </c>
      <c r="D13" s="2">
        <v>18</v>
      </c>
      <c r="E13" s="20">
        <v>1973023</v>
      </c>
      <c r="F13" s="20">
        <v>52521</v>
      </c>
      <c r="G13" s="2"/>
      <c r="H13" s="2"/>
      <c r="I13" s="3">
        <f t="shared" si="0"/>
        <v>2025544</v>
      </c>
      <c r="J13" s="20">
        <v>1827785</v>
      </c>
      <c r="K13" s="3">
        <f>+I13-J13</f>
        <v>197759</v>
      </c>
      <c r="L13" s="3">
        <f t="shared" si="2"/>
        <v>2025544</v>
      </c>
      <c r="M13" s="2">
        <f>22250+146750</f>
        <v>169000</v>
      </c>
      <c r="N13" s="3"/>
      <c r="O13" s="3"/>
      <c r="P13" s="3">
        <f t="shared" si="3"/>
        <v>1856544</v>
      </c>
      <c r="Q13" s="3">
        <f t="shared" si="4"/>
        <v>556963.19999999995</v>
      </c>
      <c r="S13" s="5">
        <f t="shared" si="5"/>
        <v>1468580.8</v>
      </c>
    </row>
    <row r="14" spans="1:19" ht="16.5" customHeight="1" x14ac:dyDescent="0.25">
      <c r="A14" s="21"/>
      <c r="B14" s="1">
        <v>8</v>
      </c>
      <c r="C14" s="8">
        <v>45983</v>
      </c>
      <c r="D14" s="2">
        <v>9</v>
      </c>
      <c r="E14" s="20">
        <v>1058681</v>
      </c>
      <c r="F14" s="2"/>
      <c r="G14" s="23"/>
      <c r="H14" s="2"/>
      <c r="I14" s="3">
        <f t="shared" si="0"/>
        <v>1058681</v>
      </c>
      <c r="J14" s="20">
        <v>763560</v>
      </c>
      <c r="K14" s="3">
        <f>+I14-J14</f>
        <v>295121</v>
      </c>
      <c r="L14" s="3">
        <f t="shared" si="2"/>
        <v>1058681</v>
      </c>
      <c r="M14" s="2">
        <v>41500</v>
      </c>
      <c r="N14" s="3"/>
      <c r="O14" s="3"/>
      <c r="P14" s="3">
        <f t="shared" si="3"/>
        <v>1017181</v>
      </c>
      <c r="Q14" s="3">
        <f t="shared" si="4"/>
        <v>305154.3</v>
      </c>
      <c r="R14" s="19"/>
      <c r="S14" s="5">
        <f t="shared" si="5"/>
        <v>753526.7</v>
      </c>
    </row>
    <row r="15" spans="1:19" x14ac:dyDescent="0.25">
      <c r="A15" s="21"/>
      <c r="B15" s="28">
        <v>9</v>
      </c>
      <c r="C15" s="29">
        <v>45984</v>
      </c>
      <c r="D15" s="30">
        <v>3</v>
      </c>
      <c r="E15" s="31">
        <v>471569</v>
      </c>
      <c r="F15" s="30"/>
      <c r="G15" s="30"/>
      <c r="H15" s="31">
        <v>2032720</v>
      </c>
      <c r="I15" s="30">
        <f t="shared" si="0"/>
        <v>2504289</v>
      </c>
      <c r="J15" s="30">
        <f>+H15+E15</f>
        <v>2504289</v>
      </c>
      <c r="K15" s="30">
        <f>+I15-J15</f>
        <v>0</v>
      </c>
      <c r="L15" s="30">
        <f t="shared" si="2"/>
        <v>2504289</v>
      </c>
      <c r="M15" s="30">
        <v>53750</v>
      </c>
      <c r="N15" s="31">
        <v>50000</v>
      </c>
      <c r="O15" s="30"/>
      <c r="P15" s="30">
        <f t="shared" si="3"/>
        <v>2400539</v>
      </c>
      <c r="Q15" s="30">
        <f t="shared" si="4"/>
        <v>720161.7</v>
      </c>
      <c r="R15" t="s">
        <v>79</v>
      </c>
      <c r="S15" s="5">
        <f t="shared" si="5"/>
        <v>1784127.3</v>
      </c>
    </row>
    <row r="16" spans="1:19" ht="15" customHeight="1" x14ac:dyDescent="0.25">
      <c r="A16" s="21"/>
      <c r="B16" s="1">
        <v>10</v>
      </c>
      <c r="C16" s="8">
        <v>45985</v>
      </c>
      <c r="D16" s="2">
        <v>10</v>
      </c>
      <c r="E16" s="20">
        <v>1200892</v>
      </c>
      <c r="F16" s="20">
        <v>153520</v>
      </c>
      <c r="G16" s="2"/>
      <c r="H16" s="2"/>
      <c r="I16" s="3">
        <f t="shared" si="0"/>
        <v>1354412</v>
      </c>
      <c r="J16" s="20">
        <v>859712</v>
      </c>
      <c r="K16" s="3">
        <f t="shared" ref="K16:K24" si="6">+I16-J16</f>
        <v>494700</v>
      </c>
      <c r="L16" s="34">
        <f t="shared" si="2"/>
        <v>1354412</v>
      </c>
      <c r="M16" s="2">
        <v>94250</v>
      </c>
      <c r="N16" s="36"/>
      <c r="O16" s="3"/>
      <c r="P16" s="3">
        <f t="shared" si="3"/>
        <v>1260162</v>
      </c>
      <c r="Q16" s="3">
        <f t="shared" ref="Q16:Q22" si="7">P16*30%</f>
        <v>378048.6</v>
      </c>
      <c r="S16" s="5">
        <f t="shared" si="5"/>
        <v>976363.4</v>
      </c>
    </row>
    <row r="17" spans="1:19" x14ac:dyDescent="0.25">
      <c r="A17" s="21"/>
      <c r="B17" s="4">
        <v>11</v>
      </c>
      <c r="C17" s="8">
        <v>45986</v>
      </c>
      <c r="D17" s="2">
        <v>8</v>
      </c>
      <c r="E17" s="20">
        <v>1210924</v>
      </c>
      <c r="F17" s="35"/>
      <c r="G17" s="20">
        <v>58575</v>
      </c>
      <c r="H17" s="20">
        <v>730250</v>
      </c>
      <c r="I17" s="3">
        <f t="shared" si="0"/>
        <v>1999749</v>
      </c>
      <c r="J17" s="2">
        <v>1210824</v>
      </c>
      <c r="K17" s="3">
        <f t="shared" si="6"/>
        <v>788925</v>
      </c>
      <c r="L17" s="34">
        <f t="shared" si="2"/>
        <v>1999749</v>
      </c>
      <c r="M17" s="2">
        <v>133250</v>
      </c>
      <c r="N17" s="3">
        <v>50000</v>
      </c>
      <c r="O17" s="3"/>
      <c r="P17" s="3">
        <f t="shared" si="3"/>
        <v>1816499</v>
      </c>
      <c r="Q17" s="3">
        <f t="shared" si="7"/>
        <v>544949.69999999995</v>
      </c>
      <c r="S17" s="5">
        <f t="shared" si="5"/>
        <v>1454799.3</v>
      </c>
    </row>
    <row r="18" spans="1:19" x14ac:dyDescent="0.25">
      <c r="A18" s="21"/>
      <c r="B18" s="4">
        <v>12</v>
      </c>
      <c r="C18" s="8">
        <v>45987</v>
      </c>
      <c r="D18" s="2">
        <v>17</v>
      </c>
      <c r="E18" s="2">
        <v>449150</v>
      </c>
      <c r="F18" s="2">
        <v>136552</v>
      </c>
      <c r="G18" s="2">
        <v>37774</v>
      </c>
      <c r="H18" s="2">
        <v>2646270</v>
      </c>
      <c r="I18" s="3">
        <f t="shared" si="0"/>
        <v>3269746</v>
      </c>
      <c r="J18" s="2">
        <v>2925133</v>
      </c>
      <c r="K18" s="3">
        <f t="shared" si="6"/>
        <v>344613</v>
      </c>
      <c r="L18" s="34">
        <f t="shared" si="2"/>
        <v>3269746</v>
      </c>
      <c r="M18" s="2">
        <f>87500+6000</f>
        <v>93500</v>
      </c>
      <c r="N18" s="3">
        <v>50000</v>
      </c>
      <c r="O18" s="3"/>
      <c r="P18" s="3">
        <f t="shared" si="3"/>
        <v>3126246</v>
      </c>
      <c r="Q18" s="3">
        <f t="shared" si="7"/>
        <v>937873.79999999993</v>
      </c>
      <c r="S18" s="5">
        <f t="shared" si="5"/>
        <v>2331872.2000000002</v>
      </c>
    </row>
    <row r="19" spans="1:19" x14ac:dyDescent="0.25">
      <c r="A19" s="21"/>
      <c r="B19" s="4">
        <v>13</v>
      </c>
      <c r="C19" s="8">
        <v>45988</v>
      </c>
      <c r="D19" s="2">
        <v>4</v>
      </c>
      <c r="E19" s="2">
        <v>331783</v>
      </c>
      <c r="F19" s="2"/>
      <c r="G19" s="2"/>
      <c r="H19" s="2">
        <v>1424450</v>
      </c>
      <c r="I19" s="3">
        <f t="shared" si="0"/>
        <v>1756233</v>
      </c>
      <c r="J19" s="2">
        <v>1689575</v>
      </c>
      <c r="K19" s="3">
        <f t="shared" si="6"/>
        <v>66658</v>
      </c>
      <c r="L19" s="34">
        <f t="shared" si="2"/>
        <v>1756233</v>
      </c>
      <c r="M19" s="2">
        <v>48000</v>
      </c>
      <c r="N19" s="3">
        <v>50000</v>
      </c>
      <c r="O19" s="3"/>
      <c r="P19" s="3">
        <f t="shared" si="3"/>
        <v>1658233</v>
      </c>
      <c r="Q19" s="3">
        <f t="shared" si="7"/>
        <v>497469.89999999997</v>
      </c>
      <c r="S19" s="5">
        <f t="shared" si="5"/>
        <v>1258763.1000000001</v>
      </c>
    </row>
    <row r="20" spans="1:19" x14ac:dyDescent="0.25">
      <c r="A20" s="21"/>
      <c r="B20" s="4">
        <v>14</v>
      </c>
      <c r="C20" s="8">
        <v>45989</v>
      </c>
      <c r="D20" s="2">
        <v>10</v>
      </c>
      <c r="E20" s="2">
        <v>1222409</v>
      </c>
      <c r="F20" s="2"/>
      <c r="G20" s="2"/>
      <c r="H20" s="2"/>
      <c r="I20" s="3">
        <f t="shared" si="0"/>
        <v>1222409</v>
      </c>
      <c r="J20" s="2">
        <v>412587</v>
      </c>
      <c r="K20" s="3">
        <f t="shared" si="6"/>
        <v>809822</v>
      </c>
      <c r="L20" s="34">
        <f t="shared" si="2"/>
        <v>1222409</v>
      </c>
      <c r="M20" s="2">
        <v>69250</v>
      </c>
      <c r="N20" s="3"/>
      <c r="O20" s="3"/>
      <c r="P20" s="3">
        <f t="shared" si="3"/>
        <v>1153159</v>
      </c>
      <c r="Q20" s="3">
        <f t="shared" si="7"/>
        <v>345947.7</v>
      </c>
      <c r="S20" s="5">
        <f t="shared" si="5"/>
        <v>876461.3</v>
      </c>
    </row>
    <row r="21" spans="1:19" x14ac:dyDescent="0.25">
      <c r="A21" s="21"/>
      <c r="B21" s="4">
        <v>15</v>
      </c>
      <c r="C21" s="8">
        <v>45990</v>
      </c>
      <c r="D21" s="2">
        <v>8</v>
      </c>
      <c r="E21" s="2">
        <v>667004</v>
      </c>
      <c r="F21" s="2">
        <v>762752</v>
      </c>
      <c r="G21" s="2"/>
      <c r="H21" s="2">
        <v>1413000</v>
      </c>
      <c r="I21" s="37">
        <f t="shared" si="0"/>
        <v>2842756</v>
      </c>
      <c r="J21" s="2"/>
      <c r="K21" s="3">
        <f t="shared" si="6"/>
        <v>2842756</v>
      </c>
      <c r="L21" s="34">
        <f t="shared" si="2"/>
        <v>2842756</v>
      </c>
      <c r="M21" s="2">
        <v>134750</v>
      </c>
      <c r="N21" s="3">
        <v>50000</v>
      </c>
      <c r="O21" s="3"/>
      <c r="P21" s="3">
        <f t="shared" si="3"/>
        <v>2658006</v>
      </c>
      <c r="Q21" s="3">
        <f t="shared" si="7"/>
        <v>797401.79999999993</v>
      </c>
      <c r="S21" s="5">
        <f t="shared" si="5"/>
        <v>2045354.2000000002</v>
      </c>
    </row>
    <row r="22" spans="1:19" ht="15" customHeight="1" x14ac:dyDescent="0.25">
      <c r="A22" s="21"/>
      <c r="B22" s="38">
        <v>16</v>
      </c>
      <c r="C22" s="29">
        <v>45991</v>
      </c>
      <c r="D22" s="30">
        <v>2</v>
      </c>
      <c r="E22" s="30">
        <v>256944</v>
      </c>
      <c r="F22" s="30"/>
      <c r="G22" s="30"/>
      <c r="H22" s="30"/>
      <c r="I22" s="30">
        <f t="shared" si="0"/>
        <v>256944</v>
      </c>
      <c r="J22" s="30"/>
      <c r="K22" s="30">
        <f t="shared" si="6"/>
        <v>256944</v>
      </c>
      <c r="L22" s="30">
        <f t="shared" si="2"/>
        <v>256944</v>
      </c>
      <c r="M22" s="30">
        <v>16000</v>
      </c>
      <c r="N22" s="30"/>
      <c r="O22" s="30"/>
      <c r="P22" s="30">
        <f t="shared" si="3"/>
        <v>240944</v>
      </c>
      <c r="Q22" s="30">
        <f t="shared" si="7"/>
        <v>72283.199999999997</v>
      </c>
      <c r="S22" s="5">
        <f t="shared" si="5"/>
        <v>184660.8</v>
      </c>
    </row>
    <row r="23" spans="1:19" ht="15.75" thickBot="1" x14ac:dyDescent="0.3">
      <c r="A23" s="21"/>
      <c r="B23" s="4"/>
      <c r="C23" s="13"/>
      <c r="D23" s="2"/>
      <c r="E23" s="2"/>
      <c r="F23" s="2"/>
      <c r="G23" s="2"/>
      <c r="H23" s="2"/>
      <c r="I23" s="3">
        <f t="shared" si="0"/>
        <v>0</v>
      </c>
      <c r="J23" s="2"/>
      <c r="K23" s="3">
        <f t="shared" si="6"/>
        <v>0</v>
      </c>
      <c r="L23" s="34">
        <f t="shared" si="2"/>
        <v>0</v>
      </c>
      <c r="M23" s="2"/>
      <c r="N23" s="3"/>
      <c r="O23" s="3"/>
      <c r="P23" s="3"/>
      <c r="Q23" s="3"/>
      <c r="S23" s="5">
        <f>+L23-Q23</f>
        <v>0</v>
      </c>
    </row>
    <row r="24" spans="1:19" ht="15.75" thickBot="1" x14ac:dyDescent="0.3">
      <c r="A24" s="21"/>
      <c r="B24" s="4"/>
      <c r="C24" s="4"/>
      <c r="D24" s="4"/>
      <c r="E24" s="4"/>
      <c r="F24" s="4"/>
      <c r="G24" s="4"/>
      <c r="H24" s="4"/>
      <c r="I24" s="14">
        <f>SUM(I7:I23)</f>
        <v>29203977</v>
      </c>
      <c r="J24" s="4"/>
      <c r="K24" s="15">
        <f t="shared" si="6"/>
        <v>29203977</v>
      </c>
      <c r="L24" s="14">
        <f t="shared" ref="L24:Q24" si="8">SUM(L7:L23)</f>
        <v>29203977</v>
      </c>
      <c r="M24" s="14">
        <f t="shared" si="8"/>
        <v>1190000</v>
      </c>
      <c r="N24" s="14">
        <f t="shared" si="8"/>
        <v>400000</v>
      </c>
      <c r="O24" s="14">
        <f t="shared" si="8"/>
        <v>59027</v>
      </c>
      <c r="P24" s="16">
        <f t="shared" si="8"/>
        <v>27554950</v>
      </c>
      <c r="Q24" s="17">
        <f t="shared" si="8"/>
        <v>8254264</v>
      </c>
      <c r="S24" s="12">
        <f>SUM(S7:S23)</f>
        <v>20949713.000000004</v>
      </c>
    </row>
    <row r="25" spans="1:19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85" spans="25:29" x14ac:dyDescent="0.25">
      <c r="AB85"/>
    </row>
    <row r="86" spans="25:29" x14ac:dyDescent="0.25">
      <c r="AB86"/>
    </row>
    <row r="87" spans="25:29" x14ac:dyDescent="0.25">
      <c r="AB87"/>
    </row>
    <row r="88" spans="25:29" x14ac:dyDescent="0.25">
      <c r="Y88" s="5">
        <f>SUM(Y85:Y87)</f>
        <v>0</v>
      </c>
      <c r="AB88"/>
      <c r="AC88" s="14">
        <f>SUM(AC85:AC87)</f>
        <v>0</v>
      </c>
    </row>
    <row r="89" spans="25:29" x14ac:dyDescent="0.25">
      <c r="AB89"/>
    </row>
    <row r="90" spans="25:29" x14ac:dyDescent="0.25">
      <c r="AB90"/>
    </row>
    <row r="91" spans="25:29" x14ac:dyDescent="0.25">
      <c r="AB91"/>
    </row>
    <row r="92" spans="25:29" x14ac:dyDescent="0.25">
      <c r="AB92"/>
    </row>
    <row r="93" spans="25:29" x14ac:dyDescent="0.25">
      <c r="AB93"/>
    </row>
    <row r="94" spans="25:29" x14ac:dyDescent="0.25">
      <c r="AB94"/>
    </row>
    <row r="95" spans="25:29" x14ac:dyDescent="0.25">
      <c r="AB95"/>
    </row>
    <row r="96" spans="25:29" x14ac:dyDescent="0.25">
      <c r="AB96"/>
    </row>
    <row r="97" spans="28:28" x14ac:dyDescent="0.25">
      <c r="AB97"/>
    </row>
    <row r="98" spans="28:28" x14ac:dyDescent="0.25">
      <c r="AB98"/>
    </row>
    <row r="99" spans="28:28" x14ac:dyDescent="0.25">
      <c r="AB99"/>
    </row>
    <row r="100" spans="28:28" x14ac:dyDescent="0.25">
      <c r="AB100"/>
    </row>
    <row r="101" spans="28:28" x14ac:dyDescent="0.25">
      <c r="AB101"/>
    </row>
    <row r="102" spans="28:28" x14ac:dyDescent="0.25">
      <c r="AB102"/>
    </row>
    <row r="103" spans="28:28" x14ac:dyDescent="0.25">
      <c r="AB103"/>
    </row>
    <row r="104" spans="28:28" x14ac:dyDescent="0.25">
      <c r="AB104"/>
    </row>
    <row r="105" spans="28:28" x14ac:dyDescent="0.25">
      <c r="AB105"/>
    </row>
    <row r="106" spans="28:28" x14ac:dyDescent="0.25">
      <c r="AB106"/>
    </row>
    <row r="107" spans="28:28" x14ac:dyDescent="0.25">
      <c r="AB107"/>
    </row>
    <row r="108" spans="28:28" x14ac:dyDescent="0.25">
      <c r="AB108"/>
    </row>
    <row r="109" spans="28:28" x14ac:dyDescent="0.25">
      <c r="AB109"/>
    </row>
    <row r="110" spans="28:28" x14ac:dyDescent="0.25">
      <c r="AB110"/>
    </row>
    <row r="111" spans="28:28" x14ac:dyDescent="0.25">
      <c r="AB111"/>
    </row>
    <row r="112" spans="28:28" x14ac:dyDescent="0.25">
      <c r="AB112"/>
    </row>
    <row r="113" spans="28:28" x14ac:dyDescent="0.25">
      <c r="AB113"/>
    </row>
    <row r="114" spans="28:28" x14ac:dyDescent="0.25">
      <c r="AB114"/>
    </row>
    <row r="115" spans="28:28" x14ac:dyDescent="0.25">
      <c r="AB115"/>
    </row>
    <row r="116" spans="28:28" x14ac:dyDescent="0.25">
      <c r="AB116"/>
    </row>
    <row r="117" spans="28:28" x14ac:dyDescent="0.25">
      <c r="AB117"/>
    </row>
    <row r="118" spans="28:28" x14ac:dyDescent="0.25">
      <c r="AB118"/>
    </row>
    <row r="119" spans="28:28" x14ac:dyDescent="0.25">
      <c r="AB119"/>
    </row>
    <row r="120" spans="28:28" x14ac:dyDescent="0.25">
      <c r="AB120"/>
    </row>
    <row r="121" spans="28:28" x14ac:dyDescent="0.25">
      <c r="AB121"/>
    </row>
    <row r="122" spans="28:28" x14ac:dyDescent="0.25">
      <c r="AB122"/>
    </row>
    <row r="123" spans="28:28" x14ac:dyDescent="0.25">
      <c r="AB123"/>
    </row>
    <row r="124" spans="28:28" x14ac:dyDescent="0.25">
      <c r="AB124"/>
    </row>
    <row r="125" spans="28:28" x14ac:dyDescent="0.25">
      <c r="AB125"/>
    </row>
    <row r="126" spans="28:28" x14ac:dyDescent="0.25">
      <c r="AB126"/>
    </row>
    <row r="127" spans="28:28" x14ac:dyDescent="0.25">
      <c r="AB127"/>
    </row>
    <row r="128" spans="28:28" x14ac:dyDescent="0.25">
      <c r="AB128"/>
    </row>
    <row r="129" spans="28:28" x14ac:dyDescent="0.25">
      <c r="AB129"/>
    </row>
    <row r="130" spans="28:28" x14ac:dyDescent="0.25">
      <c r="AB130"/>
    </row>
    <row r="131" spans="28:28" x14ac:dyDescent="0.25">
      <c r="AB131"/>
    </row>
    <row r="132" spans="28:28" x14ac:dyDescent="0.25">
      <c r="AB132"/>
    </row>
    <row r="133" spans="28:28" x14ac:dyDescent="0.25">
      <c r="AB133"/>
    </row>
    <row r="134" spans="28:28" x14ac:dyDescent="0.25">
      <c r="AB134"/>
    </row>
    <row r="135" spans="28:28" x14ac:dyDescent="0.25">
      <c r="AB135"/>
    </row>
    <row r="136" spans="28:28" x14ac:dyDescent="0.25">
      <c r="AB136"/>
    </row>
    <row r="137" spans="28:28" x14ac:dyDescent="0.25">
      <c r="AB137"/>
    </row>
    <row r="138" spans="28:28" x14ac:dyDescent="0.25">
      <c r="AB138"/>
    </row>
    <row r="139" spans="28:28" x14ac:dyDescent="0.25">
      <c r="AB139"/>
    </row>
    <row r="140" spans="28:28" x14ac:dyDescent="0.25">
      <c r="AB140"/>
    </row>
    <row r="141" spans="28:28" x14ac:dyDescent="0.25">
      <c r="AB141"/>
    </row>
    <row r="142" spans="28:28" x14ac:dyDescent="0.25">
      <c r="AB142"/>
    </row>
    <row r="143" spans="28:28" x14ac:dyDescent="0.25">
      <c r="AB143"/>
    </row>
    <row r="144" spans="28:28" x14ac:dyDescent="0.25">
      <c r="AB144"/>
    </row>
    <row r="145" spans="28:28" x14ac:dyDescent="0.25">
      <c r="AB145"/>
    </row>
    <row r="146" spans="28:28" x14ac:dyDescent="0.25">
      <c r="AB146"/>
    </row>
    <row r="147" spans="28:28" x14ac:dyDescent="0.25">
      <c r="AB147"/>
    </row>
    <row r="148" spans="28:28" x14ac:dyDescent="0.25">
      <c r="AB148"/>
    </row>
    <row r="149" spans="28:28" x14ac:dyDescent="0.25">
      <c r="AB149"/>
    </row>
    <row r="150" spans="28:28" x14ac:dyDescent="0.25">
      <c r="AB150"/>
    </row>
    <row r="151" spans="28:28" x14ac:dyDescent="0.25">
      <c r="AB151"/>
    </row>
    <row r="152" spans="28:28" x14ac:dyDescent="0.25">
      <c r="AB152"/>
    </row>
    <row r="153" spans="28:28" x14ac:dyDescent="0.25">
      <c r="AB153"/>
    </row>
    <row r="154" spans="28:28" x14ac:dyDescent="0.25">
      <c r="AB154"/>
    </row>
    <row r="155" spans="28:28" x14ac:dyDescent="0.25">
      <c r="AB155"/>
    </row>
    <row r="156" spans="28:28" x14ac:dyDescent="0.25">
      <c r="AB156"/>
    </row>
    <row r="157" spans="28:28" x14ac:dyDescent="0.25">
      <c r="AB157"/>
    </row>
    <row r="158" spans="28:28" x14ac:dyDescent="0.25">
      <c r="AB158"/>
    </row>
    <row r="159" spans="28:28" x14ac:dyDescent="0.25">
      <c r="AB159"/>
    </row>
    <row r="160" spans="28:28" x14ac:dyDescent="0.25">
      <c r="AB160"/>
    </row>
    <row r="161" spans="28:28" x14ac:dyDescent="0.25">
      <c r="AB161"/>
    </row>
    <row r="162" spans="28:28" x14ac:dyDescent="0.25">
      <c r="AB162"/>
    </row>
    <row r="163" spans="28:28" x14ac:dyDescent="0.25">
      <c r="AB163"/>
    </row>
    <row r="164" spans="28:28" x14ac:dyDescent="0.25">
      <c r="AB164"/>
    </row>
    <row r="165" spans="28:28" x14ac:dyDescent="0.25">
      <c r="AB165"/>
    </row>
    <row r="166" spans="28:28" x14ac:dyDescent="0.25">
      <c r="AB166"/>
    </row>
    <row r="167" spans="28:28" x14ac:dyDescent="0.25">
      <c r="AB167"/>
    </row>
    <row r="168" spans="28:28" x14ac:dyDescent="0.25">
      <c r="AB168"/>
    </row>
    <row r="169" spans="28:28" x14ac:dyDescent="0.25">
      <c r="AB169"/>
    </row>
    <row r="170" spans="28:28" x14ac:dyDescent="0.25">
      <c r="AB170"/>
    </row>
    <row r="171" spans="28:28" x14ac:dyDescent="0.25">
      <c r="AB171"/>
    </row>
    <row r="172" spans="28:28" x14ac:dyDescent="0.25">
      <c r="AB172"/>
    </row>
    <row r="173" spans="28:28" x14ac:dyDescent="0.25">
      <c r="AB173"/>
    </row>
    <row r="174" spans="28:28" x14ac:dyDescent="0.25">
      <c r="AB174"/>
    </row>
    <row r="175" spans="28:28" x14ac:dyDescent="0.25">
      <c r="AB175"/>
    </row>
    <row r="176" spans="28:28" x14ac:dyDescent="0.25">
      <c r="AB176"/>
    </row>
    <row r="177" spans="28:28" x14ac:dyDescent="0.25">
      <c r="AB177"/>
    </row>
    <row r="178" spans="28:28" x14ac:dyDescent="0.25">
      <c r="AB178"/>
    </row>
    <row r="179" spans="28:28" x14ac:dyDescent="0.25">
      <c r="AB179"/>
    </row>
    <row r="180" spans="28:28" x14ac:dyDescent="0.25">
      <c r="AB180"/>
    </row>
    <row r="181" spans="28:28" x14ac:dyDescent="0.25">
      <c r="AB181"/>
    </row>
    <row r="182" spans="28:28" x14ac:dyDescent="0.25">
      <c r="AB182"/>
    </row>
    <row r="183" spans="28:28" x14ac:dyDescent="0.25">
      <c r="AB183"/>
    </row>
    <row r="184" spans="28:28" x14ac:dyDescent="0.25">
      <c r="AB184"/>
    </row>
    <row r="185" spans="28:28" x14ac:dyDescent="0.25">
      <c r="AB185"/>
    </row>
    <row r="186" spans="28:28" x14ac:dyDescent="0.25">
      <c r="AB186"/>
    </row>
    <row r="187" spans="28:28" x14ac:dyDescent="0.25">
      <c r="AB187"/>
    </row>
    <row r="188" spans="28:28" x14ac:dyDescent="0.25">
      <c r="AB188"/>
    </row>
    <row r="189" spans="28:28" x14ac:dyDescent="0.25">
      <c r="AB189"/>
    </row>
    <row r="190" spans="28:28" x14ac:dyDescent="0.25">
      <c r="AB190"/>
    </row>
    <row r="191" spans="28:28" x14ac:dyDescent="0.25">
      <c r="AB191"/>
    </row>
    <row r="192" spans="28:28" x14ac:dyDescent="0.25">
      <c r="AB192"/>
    </row>
    <row r="193" spans="28:28" x14ac:dyDescent="0.25">
      <c r="AB193"/>
    </row>
    <row r="194" spans="28:28" x14ac:dyDescent="0.25">
      <c r="AB194"/>
    </row>
    <row r="195" spans="28:28" x14ac:dyDescent="0.25">
      <c r="AB195"/>
    </row>
    <row r="196" spans="28:28" x14ac:dyDescent="0.25">
      <c r="AB196"/>
    </row>
    <row r="197" spans="28:28" x14ac:dyDescent="0.25">
      <c r="AB197"/>
    </row>
    <row r="198" spans="28:28" x14ac:dyDescent="0.25">
      <c r="AB198"/>
    </row>
    <row r="199" spans="28:28" x14ac:dyDescent="0.25">
      <c r="AB199"/>
    </row>
    <row r="200" spans="28:28" x14ac:dyDescent="0.25">
      <c r="AB200"/>
    </row>
    <row r="201" spans="28:28" x14ac:dyDescent="0.25">
      <c r="AB201"/>
    </row>
    <row r="202" spans="28:28" x14ac:dyDescent="0.25">
      <c r="AB202"/>
    </row>
    <row r="203" spans="28:28" x14ac:dyDescent="0.25">
      <c r="AB203"/>
    </row>
    <row r="204" spans="28:28" x14ac:dyDescent="0.25">
      <c r="AB204"/>
    </row>
    <row r="205" spans="28:28" x14ac:dyDescent="0.25">
      <c r="AB205"/>
    </row>
    <row r="206" spans="28:28" x14ac:dyDescent="0.25">
      <c r="AB206"/>
    </row>
    <row r="207" spans="28:28" x14ac:dyDescent="0.25">
      <c r="AB207"/>
    </row>
    <row r="208" spans="28:28" x14ac:dyDescent="0.25">
      <c r="AB208"/>
    </row>
    <row r="209" spans="28:28" x14ac:dyDescent="0.25">
      <c r="AB209"/>
    </row>
    <row r="210" spans="28:28" x14ac:dyDescent="0.25">
      <c r="AB210"/>
    </row>
    <row r="211" spans="28:28" x14ac:dyDescent="0.25">
      <c r="AB211"/>
    </row>
    <row r="212" spans="28:28" x14ac:dyDescent="0.25">
      <c r="AB212"/>
    </row>
    <row r="213" spans="28:28" x14ac:dyDescent="0.25">
      <c r="AB213"/>
    </row>
    <row r="214" spans="28:28" x14ac:dyDescent="0.25">
      <c r="AB214"/>
    </row>
    <row r="215" spans="28:28" x14ac:dyDescent="0.25">
      <c r="AB215"/>
    </row>
    <row r="216" spans="28:28" x14ac:dyDescent="0.25">
      <c r="AB216"/>
    </row>
    <row r="217" spans="28:28" x14ac:dyDescent="0.25">
      <c r="AB217"/>
    </row>
    <row r="218" spans="28:28" x14ac:dyDescent="0.25">
      <c r="AB218"/>
    </row>
    <row r="219" spans="28:28" x14ac:dyDescent="0.25">
      <c r="AB219"/>
    </row>
    <row r="220" spans="28:28" x14ac:dyDescent="0.25">
      <c r="AB220"/>
    </row>
    <row r="221" spans="28:28" x14ac:dyDescent="0.25">
      <c r="AB221"/>
    </row>
    <row r="222" spans="28:28" x14ac:dyDescent="0.25">
      <c r="AB222"/>
    </row>
    <row r="223" spans="28:28" x14ac:dyDescent="0.25">
      <c r="AB223"/>
    </row>
    <row r="224" spans="28:28" x14ac:dyDescent="0.25">
      <c r="AB224"/>
    </row>
    <row r="225" spans="28:28" x14ac:dyDescent="0.25">
      <c r="AB225"/>
    </row>
    <row r="226" spans="28:28" x14ac:dyDescent="0.25">
      <c r="AB226"/>
    </row>
    <row r="227" spans="28:28" x14ac:dyDescent="0.25">
      <c r="AB227"/>
    </row>
    <row r="228" spans="28:28" x14ac:dyDescent="0.25">
      <c r="AB228"/>
    </row>
    <row r="229" spans="28:28" x14ac:dyDescent="0.25">
      <c r="AB229"/>
    </row>
    <row r="230" spans="28:28" x14ac:dyDescent="0.25">
      <c r="AB230"/>
    </row>
  </sheetData>
  <mergeCells count="14">
    <mergeCell ref="B4:Q4"/>
    <mergeCell ref="C5:C6"/>
    <mergeCell ref="D5:D6"/>
    <mergeCell ref="E5:H5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B5:B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U54"/>
  <sheetViews>
    <sheetView topLeftCell="A36" workbookViewId="0">
      <selection activeCell="H47" sqref="H47"/>
    </sheetView>
  </sheetViews>
  <sheetFormatPr defaultRowHeight="15" x14ac:dyDescent="0.25"/>
  <cols>
    <col min="1" max="1" width="1" customWidth="1"/>
    <col min="2" max="2" width="5" customWidth="1"/>
    <col min="3" max="3" width="11.42578125" customWidth="1"/>
    <col min="4" max="4" width="9.28515625" bestFit="1" customWidth="1"/>
    <col min="5" max="5" width="10.5703125" customWidth="1"/>
    <col min="6" max="6" width="12.28515625" customWidth="1"/>
    <col min="7" max="7" width="10.7109375" bestFit="1" customWidth="1"/>
    <col min="8" max="9" width="12.28515625" customWidth="1"/>
    <col min="10" max="10" width="14" customWidth="1"/>
    <col min="11" max="11" width="13.42578125" customWidth="1"/>
    <col min="12" max="12" width="14.5703125" customWidth="1"/>
    <col min="13" max="13" width="12.42578125" customWidth="1"/>
    <col min="15" max="15" width="9.85546875" bestFit="1" customWidth="1"/>
    <col min="16" max="16" width="12.5703125" customWidth="1"/>
    <col min="17" max="17" width="13" customWidth="1"/>
    <col min="18" max="18" width="12.28515625" customWidth="1"/>
    <col min="19" max="19" width="12.140625" customWidth="1"/>
    <col min="21" max="21" width="11.5703125" bestFit="1" customWidth="1"/>
  </cols>
  <sheetData>
    <row r="2" spans="1:21" ht="30.75" customHeight="1" x14ac:dyDescent="0.3">
      <c r="A2" s="188" t="s">
        <v>505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</row>
    <row r="3" spans="1:21" x14ac:dyDescent="0.25">
      <c r="A3" s="189"/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</row>
    <row r="4" spans="1:21" ht="16.5" thickBot="1" x14ac:dyDescent="0.3">
      <c r="A4" s="1186" t="s">
        <v>228</v>
      </c>
      <c r="B4" s="1186"/>
      <c r="C4" s="1186"/>
      <c r="D4" s="1186"/>
      <c r="E4" s="1186"/>
      <c r="F4" s="1186"/>
      <c r="G4" s="1186"/>
      <c r="H4" s="1186"/>
      <c r="I4" s="1186"/>
      <c r="J4" s="1186"/>
      <c r="K4" s="1186"/>
      <c r="L4" s="1186"/>
      <c r="M4" s="1186"/>
      <c r="N4" s="1186"/>
      <c r="O4" s="1186"/>
      <c r="P4" s="1186"/>
      <c r="Q4" s="1186"/>
      <c r="R4" s="1186"/>
      <c r="S4" s="1186"/>
    </row>
    <row r="5" spans="1:21" ht="15.75" thickBot="1" x14ac:dyDescent="0.3">
      <c r="B5" s="1187" t="s">
        <v>504</v>
      </c>
      <c r="C5" s="1189" t="s">
        <v>0</v>
      </c>
      <c r="D5" s="1191" t="s">
        <v>1</v>
      </c>
      <c r="E5" s="1193" t="s">
        <v>2</v>
      </c>
      <c r="F5" s="1194"/>
      <c r="G5" s="1194"/>
      <c r="H5" s="1195"/>
      <c r="I5" s="1191" t="s">
        <v>3</v>
      </c>
      <c r="J5" s="1196" t="s">
        <v>4</v>
      </c>
      <c r="K5" s="1191" t="s">
        <v>5</v>
      </c>
      <c r="L5" s="1198" t="s">
        <v>6</v>
      </c>
      <c r="M5" s="1189" t="s">
        <v>7</v>
      </c>
      <c r="N5" s="1198" t="s">
        <v>8</v>
      </c>
      <c r="O5" s="1189" t="s">
        <v>9</v>
      </c>
      <c r="P5" s="1198" t="s">
        <v>10</v>
      </c>
      <c r="Q5" s="1189" t="s">
        <v>386</v>
      </c>
      <c r="R5" s="197" t="s">
        <v>11</v>
      </c>
      <c r="S5" s="1200" t="s">
        <v>387</v>
      </c>
    </row>
    <row r="6" spans="1:21" ht="15.75" thickBot="1" x14ac:dyDescent="0.3">
      <c r="B6" s="1188"/>
      <c r="C6" s="1190"/>
      <c r="D6" s="1192"/>
      <c r="E6" s="195" t="s">
        <v>13</v>
      </c>
      <c r="F6" s="196" t="s">
        <v>14</v>
      </c>
      <c r="G6" s="195" t="s">
        <v>15</v>
      </c>
      <c r="H6" s="195" t="s">
        <v>16</v>
      </c>
      <c r="I6" s="1192"/>
      <c r="J6" s="1197"/>
      <c r="K6" s="1192"/>
      <c r="L6" s="1199"/>
      <c r="M6" s="1190"/>
      <c r="N6" s="1199"/>
      <c r="O6" s="1190"/>
      <c r="P6" s="1199"/>
      <c r="Q6" s="1190"/>
      <c r="R6" s="198">
        <v>0.3</v>
      </c>
      <c r="S6" s="1201"/>
    </row>
    <row r="7" spans="1:21" x14ac:dyDescent="0.25">
      <c r="B7" s="184">
        <v>1</v>
      </c>
      <c r="C7" s="190">
        <v>45992</v>
      </c>
      <c r="D7" s="191">
        <v>18</v>
      </c>
      <c r="E7" s="192">
        <v>3742123</v>
      </c>
      <c r="F7" s="193"/>
      <c r="G7" s="192">
        <v>58575</v>
      </c>
      <c r="H7" s="191">
        <v>0</v>
      </c>
      <c r="I7" s="191">
        <f>+E7+F7+G7+H7</f>
        <v>3800698</v>
      </c>
      <c r="J7" s="192">
        <v>3510622</v>
      </c>
      <c r="K7" s="191">
        <f>+I7-J7</f>
        <v>290076</v>
      </c>
      <c r="L7" s="191">
        <f>+J7+K7</f>
        <v>3800698</v>
      </c>
      <c r="M7" s="191">
        <v>441500</v>
      </c>
      <c r="N7" s="191"/>
      <c r="O7" s="191"/>
      <c r="P7" s="191">
        <f>+L7-M7-N7-O7</f>
        <v>3359198</v>
      </c>
      <c r="Q7" s="191">
        <v>996144</v>
      </c>
      <c r="R7" s="194">
        <f>P7*30%</f>
        <v>1007759.3999999999</v>
      </c>
      <c r="S7" s="194">
        <f>R7-Q7</f>
        <v>11615.399999999907</v>
      </c>
    </row>
    <row r="8" spans="1:21" x14ac:dyDescent="0.25">
      <c r="B8" s="1">
        <v>2</v>
      </c>
      <c r="C8" s="8">
        <v>45993</v>
      </c>
      <c r="D8" s="34">
        <v>14</v>
      </c>
      <c r="E8" s="76">
        <v>1181296</v>
      </c>
      <c r="F8" s="76">
        <v>433492</v>
      </c>
      <c r="G8" s="76">
        <v>492800</v>
      </c>
      <c r="H8" s="127">
        <v>0</v>
      </c>
      <c r="I8" s="34">
        <f t="shared" ref="I8:I37" si="0">+E8+F8+G8+H8</f>
        <v>2107588</v>
      </c>
      <c r="J8" s="76">
        <v>1507648</v>
      </c>
      <c r="K8" s="34">
        <f t="shared" ref="K8:K10" si="1">+I8-J8</f>
        <v>599940</v>
      </c>
      <c r="L8" s="34">
        <f t="shared" ref="L8:L37" si="2">+J8+K8</f>
        <v>2107588</v>
      </c>
      <c r="M8" s="34">
        <v>69750</v>
      </c>
      <c r="N8" s="34"/>
      <c r="O8" s="34"/>
      <c r="P8" s="34">
        <f t="shared" ref="P8:P37" si="3">+L8-M8-N8-O8</f>
        <v>2037838</v>
      </c>
      <c r="Q8" s="76">
        <v>513591</v>
      </c>
      <c r="R8" s="14">
        <f t="shared" ref="R8:R37" si="4">P8*30%</f>
        <v>611351.4</v>
      </c>
      <c r="S8" s="14">
        <f t="shared" ref="S8:S32" si="5">R8-Q8</f>
        <v>97760.400000000023</v>
      </c>
      <c r="T8" s="5"/>
    </row>
    <row r="9" spans="1:21" x14ac:dyDescent="0.25">
      <c r="B9" s="1">
        <v>3</v>
      </c>
      <c r="C9" s="8">
        <v>45994</v>
      </c>
      <c r="D9" s="34">
        <v>18</v>
      </c>
      <c r="E9" s="76">
        <v>3962749</v>
      </c>
      <c r="F9" s="76">
        <v>192000</v>
      </c>
      <c r="G9" s="76">
        <v>1557314</v>
      </c>
      <c r="H9" s="76">
        <v>1786065</v>
      </c>
      <c r="I9" s="127">
        <f t="shared" si="0"/>
        <v>7498128</v>
      </c>
      <c r="J9" s="76">
        <v>4042906</v>
      </c>
      <c r="K9" s="34">
        <f t="shared" si="1"/>
        <v>3455222</v>
      </c>
      <c r="L9" s="34">
        <f t="shared" si="2"/>
        <v>7498128</v>
      </c>
      <c r="M9" s="34">
        <v>217000</v>
      </c>
      <c r="N9" s="34">
        <v>50000</v>
      </c>
      <c r="O9" s="34">
        <v>278000</v>
      </c>
      <c r="P9" s="34">
        <f t="shared" si="3"/>
        <v>6953128</v>
      </c>
      <c r="Q9" s="76">
        <v>1791975</v>
      </c>
      <c r="R9" s="14">
        <f t="shared" si="4"/>
        <v>2085938.4</v>
      </c>
      <c r="S9" s="14">
        <f t="shared" si="5"/>
        <v>293963.39999999991</v>
      </c>
    </row>
    <row r="10" spans="1:21" x14ac:dyDescent="0.25">
      <c r="B10" s="1">
        <v>4</v>
      </c>
      <c r="C10" s="8">
        <v>45995</v>
      </c>
      <c r="D10" s="34">
        <v>14</v>
      </c>
      <c r="E10" s="76">
        <v>685892</v>
      </c>
      <c r="F10" s="76">
        <v>508840</v>
      </c>
      <c r="G10" s="127"/>
      <c r="H10" s="127"/>
      <c r="I10" s="127">
        <f t="shared" si="0"/>
        <v>1194732</v>
      </c>
      <c r="J10" s="76">
        <v>916375</v>
      </c>
      <c r="K10" s="34">
        <f t="shared" si="1"/>
        <v>278357</v>
      </c>
      <c r="L10" s="34">
        <f t="shared" si="2"/>
        <v>1194732</v>
      </c>
      <c r="M10" s="34">
        <v>35250</v>
      </c>
      <c r="N10" s="34"/>
      <c r="O10" s="34"/>
      <c r="P10" s="34">
        <f t="shared" si="3"/>
        <v>1159482</v>
      </c>
      <c r="Q10" s="76">
        <v>347844</v>
      </c>
      <c r="R10" s="14">
        <f t="shared" si="4"/>
        <v>347844.6</v>
      </c>
      <c r="S10" s="14">
        <f t="shared" si="5"/>
        <v>0.59999999997671694</v>
      </c>
    </row>
    <row r="11" spans="1:21" x14ac:dyDescent="0.25">
      <c r="B11" s="1">
        <v>5</v>
      </c>
      <c r="C11" s="8">
        <v>45996</v>
      </c>
      <c r="D11" s="34">
        <v>14</v>
      </c>
      <c r="E11" s="76">
        <v>1864202</v>
      </c>
      <c r="F11" s="76">
        <v>267853</v>
      </c>
      <c r="G11" s="76">
        <v>33330</v>
      </c>
      <c r="H11" s="76">
        <v>1834480</v>
      </c>
      <c r="I11" s="34">
        <f t="shared" si="0"/>
        <v>3999865</v>
      </c>
      <c r="J11" s="76">
        <v>3774027</v>
      </c>
      <c r="K11" s="34">
        <f>+I11-J11</f>
        <v>225838</v>
      </c>
      <c r="L11" s="34">
        <f t="shared" si="2"/>
        <v>3999865</v>
      </c>
      <c r="M11" s="34">
        <v>190000</v>
      </c>
      <c r="N11" s="34">
        <v>50000</v>
      </c>
      <c r="O11" s="34">
        <v>164610</v>
      </c>
      <c r="P11" s="34">
        <f t="shared" si="3"/>
        <v>3595255</v>
      </c>
      <c r="Q11" s="76">
        <v>1071960</v>
      </c>
      <c r="R11" s="14">
        <f t="shared" si="4"/>
        <v>1078576.5</v>
      </c>
      <c r="S11" s="14">
        <f t="shared" si="5"/>
        <v>6616.5</v>
      </c>
    </row>
    <row r="12" spans="1:21" x14ac:dyDescent="0.25">
      <c r="B12" s="1">
        <v>6</v>
      </c>
      <c r="C12" s="8">
        <v>45997</v>
      </c>
      <c r="D12" s="34">
        <v>6</v>
      </c>
      <c r="E12" s="76">
        <v>1251364</v>
      </c>
      <c r="F12" s="76">
        <v>98980</v>
      </c>
      <c r="G12" s="76"/>
      <c r="H12" s="76"/>
      <c r="I12" s="127">
        <f t="shared" si="0"/>
        <v>1350344</v>
      </c>
      <c r="J12" s="76">
        <v>1123444</v>
      </c>
      <c r="K12" s="127">
        <f>+I12-J12</f>
        <v>226900</v>
      </c>
      <c r="L12" s="127">
        <f t="shared" si="2"/>
        <v>1350344</v>
      </c>
      <c r="M12" s="127">
        <v>64250</v>
      </c>
      <c r="N12" s="127"/>
      <c r="O12" s="127"/>
      <c r="P12" s="127">
        <f t="shared" si="3"/>
        <v>1286094</v>
      </c>
      <c r="Q12" s="76">
        <v>385828</v>
      </c>
      <c r="R12" s="14">
        <f t="shared" si="4"/>
        <v>385828.2</v>
      </c>
      <c r="S12" s="14">
        <f t="shared" si="5"/>
        <v>0.20000000001164153</v>
      </c>
    </row>
    <row r="13" spans="1:21" x14ac:dyDescent="0.25">
      <c r="B13" s="1">
        <v>7</v>
      </c>
      <c r="C13" s="8">
        <v>45998</v>
      </c>
      <c r="D13" s="127">
        <v>2</v>
      </c>
      <c r="E13" s="76">
        <v>106050</v>
      </c>
      <c r="F13" s="76"/>
      <c r="G13" s="127"/>
      <c r="H13" s="76">
        <v>2642700</v>
      </c>
      <c r="I13" s="127">
        <f t="shared" si="0"/>
        <v>2748750</v>
      </c>
      <c r="J13" s="76">
        <v>2748750</v>
      </c>
      <c r="K13" s="127">
        <f>+I13-J13</f>
        <v>0</v>
      </c>
      <c r="L13" s="127">
        <f t="shared" si="2"/>
        <v>2748750</v>
      </c>
      <c r="M13" s="127">
        <v>31000</v>
      </c>
      <c r="N13" s="127">
        <v>50000</v>
      </c>
      <c r="O13" s="127"/>
      <c r="P13" s="127">
        <f t="shared" si="3"/>
        <v>2667750</v>
      </c>
      <c r="Q13" s="127">
        <f t="shared" ref="Q13" si="6">+P13*30%</f>
        <v>800325</v>
      </c>
      <c r="R13" s="14">
        <f t="shared" si="4"/>
        <v>800325</v>
      </c>
      <c r="S13" s="14">
        <f t="shared" si="5"/>
        <v>0</v>
      </c>
      <c r="U13" s="5">
        <f>SUM(P7:P13)+P14</f>
        <v>25624912</v>
      </c>
    </row>
    <row r="14" spans="1:21" x14ac:dyDescent="0.25">
      <c r="B14" s="1">
        <v>8</v>
      </c>
      <c r="C14" s="8">
        <v>45999</v>
      </c>
      <c r="D14" s="127">
        <v>16</v>
      </c>
      <c r="E14" s="76">
        <v>4040297</v>
      </c>
      <c r="F14" s="127"/>
      <c r="G14" s="76">
        <v>30800</v>
      </c>
      <c r="H14" s="76">
        <v>851020</v>
      </c>
      <c r="I14" s="127">
        <f t="shared" si="0"/>
        <v>4922117</v>
      </c>
      <c r="J14" s="76">
        <v>4676083</v>
      </c>
      <c r="K14" s="127">
        <f>+I14-J14</f>
        <v>246034</v>
      </c>
      <c r="L14" s="127">
        <f t="shared" si="2"/>
        <v>4922117</v>
      </c>
      <c r="M14" s="127">
        <v>300750</v>
      </c>
      <c r="N14" s="127">
        <v>50000</v>
      </c>
      <c r="O14" s="127">
        <v>5200</v>
      </c>
      <c r="P14" s="127">
        <f t="shared" si="3"/>
        <v>4566167</v>
      </c>
      <c r="Q14" s="76">
        <v>1363740</v>
      </c>
      <c r="R14" s="14">
        <f t="shared" si="4"/>
        <v>1369850.0999999999</v>
      </c>
      <c r="S14" s="14">
        <f t="shared" si="5"/>
        <v>6110.0999999998603</v>
      </c>
    </row>
    <row r="15" spans="1:21" x14ac:dyDescent="0.25">
      <c r="B15" s="1">
        <v>9</v>
      </c>
      <c r="C15" s="8">
        <v>46000</v>
      </c>
      <c r="D15" s="127">
        <v>12</v>
      </c>
      <c r="E15" s="76">
        <v>421874</v>
      </c>
      <c r="F15" s="127"/>
      <c r="G15" s="127"/>
      <c r="H15" s="76"/>
      <c r="I15" s="127">
        <f t="shared" si="0"/>
        <v>421874</v>
      </c>
      <c r="J15" s="76">
        <v>229266</v>
      </c>
      <c r="K15" s="127">
        <f>+I15-J15</f>
        <v>192608</v>
      </c>
      <c r="L15" s="127">
        <f t="shared" si="2"/>
        <v>421874</v>
      </c>
      <c r="M15" s="127">
        <v>17500</v>
      </c>
      <c r="N15" s="76"/>
      <c r="O15" s="127"/>
      <c r="P15" s="127">
        <f t="shared" si="3"/>
        <v>404374</v>
      </c>
      <c r="Q15" s="76">
        <v>121312</v>
      </c>
      <c r="R15" s="14">
        <f t="shared" si="4"/>
        <v>121312.2</v>
      </c>
      <c r="S15" s="14">
        <f t="shared" si="5"/>
        <v>0.19999999999708962</v>
      </c>
    </row>
    <row r="16" spans="1:21" x14ac:dyDescent="0.25">
      <c r="B16" s="1">
        <v>10</v>
      </c>
      <c r="C16" s="8">
        <v>46001</v>
      </c>
      <c r="D16" s="34">
        <v>31</v>
      </c>
      <c r="E16" s="76">
        <v>6133802</v>
      </c>
      <c r="F16" s="76"/>
      <c r="G16" s="76">
        <v>248930</v>
      </c>
      <c r="H16" s="76">
        <v>1202875</v>
      </c>
      <c r="I16" s="127">
        <f t="shared" si="0"/>
        <v>7585607</v>
      </c>
      <c r="J16" s="76">
        <v>7225241</v>
      </c>
      <c r="K16" s="127">
        <f t="shared" ref="K16:K37" si="7">+I16-J16</f>
        <v>360366</v>
      </c>
      <c r="L16" s="127">
        <f t="shared" si="2"/>
        <v>7585607</v>
      </c>
      <c r="M16" s="127">
        <v>283250</v>
      </c>
      <c r="N16" s="128">
        <v>50000</v>
      </c>
      <c r="O16" s="127">
        <v>560000</v>
      </c>
      <c r="P16" s="127">
        <f t="shared" si="3"/>
        <v>6692357</v>
      </c>
      <c r="Q16" s="76">
        <v>1958321</v>
      </c>
      <c r="R16" s="14">
        <f t="shared" si="4"/>
        <v>2007707.0999999999</v>
      </c>
      <c r="S16" s="14">
        <f t="shared" si="5"/>
        <v>49386.09999999986</v>
      </c>
    </row>
    <row r="17" spans="2:20" x14ac:dyDescent="0.25">
      <c r="B17" s="1">
        <v>11</v>
      </c>
      <c r="C17" s="8">
        <v>46002</v>
      </c>
      <c r="D17" s="34">
        <v>37</v>
      </c>
      <c r="E17" s="76">
        <v>2996611</v>
      </c>
      <c r="F17" s="76">
        <v>1331912</v>
      </c>
      <c r="G17" s="76">
        <v>183943</v>
      </c>
      <c r="H17" s="76">
        <v>1729800</v>
      </c>
      <c r="I17" s="127">
        <f t="shared" si="0"/>
        <v>6242266</v>
      </c>
      <c r="J17" s="76">
        <v>3829679</v>
      </c>
      <c r="K17" s="127">
        <f t="shared" si="7"/>
        <v>2412587</v>
      </c>
      <c r="L17" s="127">
        <f t="shared" si="2"/>
        <v>6242266</v>
      </c>
      <c r="M17" s="127">
        <v>202000</v>
      </c>
      <c r="N17" s="127"/>
      <c r="O17" s="127">
        <v>63600</v>
      </c>
      <c r="P17" s="127">
        <f t="shared" si="3"/>
        <v>5976666</v>
      </c>
      <c r="Q17" s="76">
        <v>1761981</v>
      </c>
      <c r="R17" s="14">
        <f t="shared" si="4"/>
        <v>1792999.8</v>
      </c>
      <c r="S17" s="14">
        <f t="shared" si="5"/>
        <v>31018.800000000047</v>
      </c>
    </row>
    <row r="18" spans="2:20" x14ac:dyDescent="0.25">
      <c r="B18" s="1">
        <v>12</v>
      </c>
      <c r="C18" s="8">
        <v>46003</v>
      </c>
      <c r="D18" s="127">
        <v>27</v>
      </c>
      <c r="E18" s="76">
        <v>3226549</v>
      </c>
      <c r="F18" s="76">
        <v>417320</v>
      </c>
      <c r="G18" s="76">
        <v>64130</v>
      </c>
      <c r="H18" s="127"/>
      <c r="I18" s="127">
        <f t="shared" si="0"/>
        <v>3707999</v>
      </c>
      <c r="J18" s="76">
        <v>3390856</v>
      </c>
      <c r="K18" s="127">
        <f t="shared" si="7"/>
        <v>317143</v>
      </c>
      <c r="L18" s="127">
        <f t="shared" si="2"/>
        <v>3707999</v>
      </c>
      <c r="M18" s="127">
        <v>213000</v>
      </c>
      <c r="N18" s="127"/>
      <c r="O18" s="127"/>
      <c r="P18" s="127">
        <f t="shared" si="3"/>
        <v>3494999</v>
      </c>
      <c r="Q18" s="76">
        <v>1035773</v>
      </c>
      <c r="R18" s="14">
        <f t="shared" si="4"/>
        <v>1048499.7</v>
      </c>
      <c r="S18" s="14">
        <f t="shared" si="5"/>
        <v>12726.699999999953</v>
      </c>
    </row>
    <row r="19" spans="2:20" x14ac:dyDescent="0.25">
      <c r="B19" s="1">
        <v>13</v>
      </c>
      <c r="C19" s="8">
        <v>46004</v>
      </c>
      <c r="D19" s="34">
        <v>15</v>
      </c>
      <c r="E19" s="76">
        <v>2078891</v>
      </c>
      <c r="F19" s="76">
        <v>563580</v>
      </c>
      <c r="G19" s="127"/>
      <c r="H19" s="127"/>
      <c r="I19" s="127">
        <f t="shared" si="0"/>
        <v>2642471</v>
      </c>
      <c r="J19" s="76">
        <v>859516</v>
      </c>
      <c r="K19" s="127">
        <f t="shared" si="7"/>
        <v>1782955</v>
      </c>
      <c r="L19" s="127">
        <f t="shared" si="2"/>
        <v>2642471</v>
      </c>
      <c r="M19" s="127">
        <v>177750</v>
      </c>
      <c r="N19" s="127"/>
      <c r="O19" s="127"/>
      <c r="P19" s="127">
        <f t="shared" si="3"/>
        <v>2464721</v>
      </c>
      <c r="Q19" s="76">
        <v>739416</v>
      </c>
      <c r="R19" s="14">
        <f t="shared" si="4"/>
        <v>739416.29999999993</v>
      </c>
      <c r="S19" s="14">
        <f t="shared" si="5"/>
        <v>0.29999999993015081</v>
      </c>
    </row>
    <row r="20" spans="2:20" x14ac:dyDescent="0.25">
      <c r="B20" s="1">
        <v>14</v>
      </c>
      <c r="C20" s="8">
        <v>46005</v>
      </c>
      <c r="D20" s="127">
        <v>7</v>
      </c>
      <c r="E20" s="159">
        <v>491065</v>
      </c>
      <c r="F20" s="127"/>
      <c r="G20" s="127"/>
      <c r="H20" s="127"/>
      <c r="I20" s="127">
        <f t="shared" si="0"/>
        <v>491065</v>
      </c>
      <c r="J20" s="159">
        <v>224425</v>
      </c>
      <c r="K20" s="127">
        <f t="shared" si="7"/>
        <v>266640</v>
      </c>
      <c r="L20" s="127">
        <f t="shared" si="2"/>
        <v>491065</v>
      </c>
      <c r="M20" s="127">
        <v>36250</v>
      </c>
      <c r="N20" s="127"/>
      <c r="O20" s="127"/>
      <c r="P20" s="127">
        <f t="shared" si="3"/>
        <v>454815</v>
      </c>
      <c r="Q20" s="159">
        <v>136444</v>
      </c>
      <c r="R20" s="14">
        <f t="shared" si="4"/>
        <v>136444.5</v>
      </c>
      <c r="S20" s="14">
        <f t="shared" si="5"/>
        <v>0.5</v>
      </c>
    </row>
    <row r="21" spans="2:20" x14ac:dyDescent="0.25">
      <c r="B21" s="1">
        <v>15</v>
      </c>
      <c r="C21" s="8">
        <v>46006</v>
      </c>
      <c r="D21" s="127">
        <v>17</v>
      </c>
      <c r="E21" s="76">
        <v>2526111</v>
      </c>
      <c r="F21" s="76">
        <v>1024140</v>
      </c>
      <c r="G21" s="76">
        <v>58575</v>
      </c>
      <c r="H21" s="127"/>
      <c r="I21" s="76">
        <f t="shared" si="0"/>
        <v>3608826</v>
      </c>
      <c r="J21" s="76">
        <v>2853854</v>
      </c>
      <c r="K21" s="127">
        <f t="shared" si="7"/>
        <v>754972</v>
      </c>
      <c r="L21" s="127">
        <f t="shared" si="2"/>
        <v>3608826</v>
      </c>
      <c r="M21" s="127">
        <v>161000</v>
      </c>
      <c r="N21" s="127"/>
      <c r="O21" s="127"/>
      <c r="P21" s="127">
        <f t="shared" si="3"/>
        <v>3447826</v>
      </c>
      <c r="Q21" s="76">
        <v>1022732</v>
      </c>
      <c r="R21" s="14">
        <f t="shared" si="4"/>
        <v>1034347.7999999999</v>
      </c>
      <c r="S21" s="14">
        <f t="shared" si="5"/>
        <v>11615.79999999993</v>
      </c>
    </row>
    <row r="22" spans="2:20" x14ac:dyDescent="0.25">
      <c r="B22" s="1">
        <v>16</v>
      </c>
      <c r="C22" s="8">
        <v>46007</v>
      </c>
      <c r="D22" s="34">
        <v>30</v>
      </c>
      <c r="E22" s="76">
        <v>4586502</v>
      </c>
      <c r="F22" s="76">
        <v>2748174</v>
      </c>
      <c r="G22" s="76">
        <v>98236</v>
      </c>
      <c r="H22" s="76">
        <v>1422850</v>
      </c>
      <c r="I22" s="127">
        <f t="shared" si="0"/>
        <v>8855762</v>
      </c>
      <c r="J22" s="76">
        <v>7382071</v>
      </c>
      <c r="K22" s="127">
        <f t="shared" si="7"/>
        <v>1473691</v>
      </c>
      <c r="L22" s="127">
        <f t="shared" si="2"/>
        <v>8855762</v>
      </c>
      <c r="M22" s="127">
        <v>469250</v>
      </c>
      <c r="N22" s="127"/>
      <c r="O22" s="127">
        <v>19000</v>
      </c>
      <c r="P22" s="127">
        <f t="shared" si="3"/>
        <v>8367512</v>
      </c>
      <c r="Q22" s="76">
        <v>2493516</v>
      </c>
      <c r="R22" s="14">
        <f t="shared" si="4"/>
        <v>2510253.6</v>
      </c>
      <c r="S22" s="14">
        <f t="shared" si="5"/>
        <v>16737.600000000093</v>
      </c>
    </row>
    <row r="23" spans="2:20" x14ac:dyDescent="0.25">
      <c r="B23" s="1">
        <v>17</v>
      </c>
      <c r="C23" s="8">
        <v>46008</v>
      </c>
      <c r="D23" s="160">
        <v>24</v>
      </c>
      <c r="E23" s="160">
        <v>2836731</v>
      </c>
      <c r="F23" s="160">
        <v>695268</v>
      </c>
      <c r="G23" s="160"/>
      <c r="H23" s="160"/>
      <c r="I23" s="160">
        <f t="shared" si="0"/>
        <v>3531999</v>
      </c>
      <c r="J23" s="160">
        <v>3373027</v>
      </c>
      <c r="K23" s="160">
        <f t="shared" si="7"/>
        <v>158972</v>
      </c>
      <c r="L23" s="160">
        <f t="shared" si="2"/>
        <v>3531999</v>
      </c>
      <c r="M23" s="160">
        <v>170250</v>
      </c>
      <c r="N23" s="160"/>
      <c r="O23" s="160"/>
      <c r="P23" s="160">
        <f t="shared" si="3"/>
        <v>3361749</v>
      </c>
      <c r="Q23" s="160">
        <v>1008524</v>
      </c>
      <c r="R23" s="161">
        <f t="shared" si="4"/>
        <v>1008524.7</v>
      </c>
      <c r="S23" s="161">
        <f t="shared" si="5"/>
        <v>0.69999999995343387</v>
      </c>
    </row>
    <row r="24" spans="2:20" x14ac:dyDescent="0.25">
      <c r="B24" s="1">
        <v>18</v>
      </c>
      <c r="C24" s="13">
        <v>46009</v>
      </c>
      <c r="D24" s="162">
        <v>16</v>
      </c>
      <c r="E24" s="160">
        <v>937386</v>
      </c>
      <c r="F24" s="160">
        <v>96000</v>
      </c>
      <c r="G24" s="160">
        <v>30800</v>
      </c>
      <c r="H24" s="160">
        <v>625250</v>
      </c>
      <c r="I24" s="160">
        <f t="shared" si="0"/>
        <v>1689436</v>
      </c>
      <c r="J24" s="160">
        <v>1315631</v>
      </c>
      <c r="K24" s="160">
        <f t="shared" si="7"/>
        <v>373805</v>
      </c>
      <c r="L24" s="160">
        <f t="shared" si="2"/>
        <v>1689436</v>
      </c>
      <c r="M24" s="160">
        <v>94250</v>
      </c>
      <c r="N24" s="160">
        <v>50000</v>
      </c>
      <c r="O24" s="162"/>
      <c r="P24" s="160">
        <f t="shared" si="3"/>
        <v>1545186</v>
      </c>
      <c r="Q24" s="160">
        <v>457445</v>
      </c>
      <c r="R24" s="161">
        <f t="shared" si="4"/>
        <v>463555.8</v>
      </c>
      <c r="S24" s="161">
        <f t="shared" si="5"/>
        <v>6110.7999999999884</v>
      </c>
    </row>
    <row r="25" spans="2:20" x14ac:dyDescent="0.25">
      <c r="B25" s="1">
        <v>19</v>
      </c>
      <c r="C25" s="13">
        <v>46010</v>
      </c>
      <c r="D25" s="162">
        <v>23</v>
      </c>
      <c r="E25" s="160">
        <v>9665572</v>
      </c>
      <c r="F25" s="160"/>
      <c r="G25" s="160">
        <v>962929</v>
      </c>
      <c r="H25" s="160">
        <v>2489675</v>
      </c>
      <c r="I25" s="160">
        <f t="shared" si="0"/>
        <v>13118176</v>
      </c>
      <c r="J25" s="160">
        <v>12201500</v>
      </c>
      <c r="K25" s="160">
        <f t="shared" si="7"/>
        <v>916676</v>
      </c>
      <c r="L25" s="160">
        <f t="shared" si="2"/>
        <v>13118176</v>
      </c>
      <c r="M25" s="160">
        <v>670500</v>
      </c>
      <c r="N25" s="160">
        <v>50000</v>
      </c>
      <c r="O25" s="160">
        <v>713577</v>
      </c>
      <c r="P25" s="160">
        <f t="shared" si="3"/>
        <v>11684099</v>
      </c>
      <c r="Q25" s="160">
        <v>3313593</v>
      </c>
      <c r="R25" s="161">
        <f>P25*30%</f>
        <v>3505229.6999999997</v>
      </c>
      <c r="S25" s="161">
        <f t="shared" si="5"/>
        <v>191636.69999999972</v>
      </c>
    </row>
    <row r="26" spans="2:20" x14ac:dyDescent="0.25">
      <c r="B26" s="1">
        <v>20</v>
      </c>
      <c r="C26" s="139" t="s">
        <v>434</v>
      </c>
      <c r="D26" s="160">
        <v>14</v>
      </c>
      <c r="E26" s="160">
        <v>1440142</v>
      </c>
      <c r="F26" s="160"/>
      <c r="G26" s="160"/>
      <c r="H26" s="160"/>
      <c r="I26" s="160">
        <f t="shared" si="0"/>
        <v>1440142</v>
      </c>
      <c r="J26" s="160">
        <v>1171277</v>
      </c>
      <c r="K26" s="160">
        <f t="shared" si="7"/>
        <v>268865</v>
      </c>
      <c r="L26" s="160">
        <f t="shared" si="2"/>
        <v>1440142</v>
      </c>
      <c r="M26" s="160">
        <v>81750</v>
      </c>
      <c r="N26" s="160"/>
      <c r="O26" s="160"/>
      <c r="P26" s="160">
        <f t="shared" si="3"/>
        <v>1358392</v>
      </c>
      <c r="Q26" s="160">
        <v>407517</v>
      </c>
      <c r="R26" s="161">
        <f t="shared" si="4"/>
        <v>407517.6</v>
      </c>
      <c r="S26" s="161">
        <f t="shared" si="5"/>
        <v>0.59999999997671694</v>
      </c>
      <c r="T26" s="141"/>
    </row>
    <row r="27" spans="2:20" x14ac:dyDescent="0.25">
      <c r="B27" s="1">
        <v>21</v>
      </c>
      <c r="C27" s="13">
        <v>46012</v>
      </c>
      <c r="D27" s="162">
        <v>2</v>
      </c>
      <c r="E27" s="160">
        <v>416625</v>
      </c>
      <c r="F27" s="160"/>
      <c r="G27" s="160"/>
      <c r="H27" s="160"/>
      <c r="I27" s="160">
        <f t="shared" si="0"/>
        <v>416625</v>
      </c>
      <c r="J27" s="160">
        <v>416625</v>
      </c>
      <c r="K27" s="160">
        <f t="shared" si="7"/>
        <v>0</v>
      </c>
      <c r="L27" s="160">
        <f t="shared" si="2"/>
        <v>416625</v>
      </c>
      <c r="M27" s="160">
        <v>13750</v>
      </c>
      <c r="N27" s="160"/>
      <c r="O27" s="160"/>
      <c r="P27" s="160">
        <f t="shared" si="3"/>
        <v>402875</v>
      </c>
      <c r="Q27" s="160">
        <v>120862</v>
      </c>
      <c r="R27" s="160">
        <f t="shared" si="4"/>
        <v>120862.5</v>
      </c>
      <c r="S27" s="161">
        <f t="shared" si="5"/>
        <v>0.5</v>
      </c>
    </row>
    <row r="28" spans="2:20" x14ac:dyDescent="0.25">
      <c r="B28" s="1">
        <v>22</v>
      </c>
      <c r="C28" s="4" t="s">
        <v>435</v>
      </c>
      <c r="D28" s="160">
        <v>9</v>
      </c>
      <c r="E28" s="160">
        <v>698718</v>
      </c>
      <c r="F28" s="160">
        <v>0</v>
      </c>
      <c r="G28" s="160">
        <v>27775</v>
      </c>
      <c r="H28" s="160"/>
      <c r="I28" s="160">
        <f>+E28+F28+G28+H28</f>
        <v>726493</v>
      </c>
      <c r="J28" s="160">
        <v>581255</v>
      </c>
      <c r="K28" s="160">
        <f t="shared" si="7"/>
        <v>145238</v>
      </c>
      <c r="L28" s="160">
        <f t="shared" si="2"/>
        <v>726493</v>
      </c>
      <c r="M28" s="160">
        <v>26500</v>
      </c>
      <c r="N28" s="160"/>
      <c r="O28" s="160"/>
      <c r="P28" s="160">
        <f t="shared" si="3"/>
        <v>699993</v>
      </c>
      <c r="Q28" s="160">
        <v>204492</v>
      </c>
      <c r="R28" s="160">
        <f t="shared" si="4"/>
        <v>209997.9</v>
      </c>
      <c r="S28" s="160">
        <f t="shared" si="5"/>
        <v>5505.8999999999942</v>
      </c>
    </row>
    <row r="29" spans="2:20" x14ac:dyDescent="0.25">
      <c r="B29" s="1">
        <v>23</v>
      </c>
      <c r="C29" s="13">
        <v>46014</v>
      </c>
      <c r="D29" s="162">
        <v>21</v>
      </c>
      <c r="E29" s="160">
        <v>2560147</v>
      </c>
      <c r="F29" s="160"/>
      <c r="G29" s="160">
        <v>58575</v>
      </c>
      <c r="H29" s="160">
        <v>458980</v>
      </c>
      <c r="I29" s="160">
        <f t="shared" si="0"/>
        <v>3077702</v>
      </c>
      <c r="J29" s="160">
        <v>3049422</v>
      </c>
      <c r="K29" s="160">
        <f t="shared" si="7"/>
        <v>28280</v>
      </c>
      <c r="L29" s="160">
        <f t="shared" si="2"/>
        <v>3077702</v>
      </c>
      <c r="M29" s="160">
        <v>230750</v>
      </c>
      <c r="N29" s="160"/>
      <c r="O29" s="160"/>
      <c r="P29" s="160">
        <f t="shared" si="3"/>
        <v>2846952</v>
      </c>
      <c r="Q29" s="160">
        <v>797470</v>
      </c>
      <c r="R29" s="160">
        <f t="shared" si="4"/>
        <v>854085.6</v>
      </c>
      <c r="S29" s="160">
        <f t="shared" si="5"/>
        <v>56615.599999999977</v>
      </c>
    </row>
    <row r="30" spans="2:20" x14ac:dyDescent="0.25">
      <c r="B30" s="1">
        <v>24</v>
      </c>
      <c r="C30" s="13">
        <v>46015</v>
      </c>
      <c r="D30" s="162">
        <v>23</v>
      </c>
      <c r="E30" s="165">
        <v>1743918</v>
      </c>
      <c r="F30" s="165">
        <v>1169580</v>
      </c>
      <c r="G30" s="165">
        <v>64130</v>
      </c>
      <c r="H30" s="165">
        <v>822860</v>
      </c>
      <c r="I30" s="160">
        <f t="shared" si="0"/>
        <v>3800488</v>
      </c>
      <c r="J30" s="165">
        <v>2803726</v>
      </c>
      <c r="K30" s="160">
        <f t="shared" si="7"/>
        <v>996762</v>
      </c>
      <c r="L30" s="160">
        <f t="shared" si="2"/>
        <v>3800488</v>
      </c>
      <c r="M30" s="165">
        <v>195000</v>
      </c>
      <c r="N30" s="165">
        <v>50000</v>
      </c>
      <c r="O30" s="165"/>
      <c r="P30" s="160">
        <f t="shared" si="3"/>
        <v>3555488</v>
      </c>
      <c r="Q30" s="165">
        <v>1053920</v>
      </c>
      <c r="R30" s="161">
        <f t="shared" si="4"/>
        <v>1066646.3999999999</v>
      </c>
      <c r="S30" s="161">
        <f t="shared" si="5"/>
        <v>12726.399999999907</v>
      </c>
    </row>
    <row r="31" spans="2:20" x14ac:dyDescent="0.25">
      <c r="B31" s="1">
        <v>25</v>
      </c>
      <c r="C31" s="13">
        <v>46016</v>
      </c>
      <c r="D31" s="165">
        <v>3</v>
      </c>
      <c r="E31" s="165">
        <v>1430160</v>
      </c>
      <c r="F31" s="165"/>
      <c r="G31" s="165"/>
      <c r="H31" s="165"/>
      <c r="I31" s="160">
        <f t="shared" si="0"/>
        <v>1430160</v>
      </c>
      <c r="J31" s="165">
        <v>1430160</v>
      </c>
      <c r="K31" s="160">
        <f t="shared" si="7"/>
        <v>0</v>
      </c>
      <c r="L31" s="160">
        <f t="shared" si="2"/>
        <v>1430160</v>
      </c>
      <c r="M31" s="165">
        <v>50500</v>
      </c>
      <c r="N31" s="165"/>
      <c r="O31" s="165"/>
      <c r="P31" s="160">
        <f t="shared" si="3"/>
        <v>1379660</v>
      </c>
      <c r="Q31" s="165">
        <v>413898</v>
      </c>
      <c r="R31" s="165">
        <f t="shared" si="4"/>
        <v>413898</v>
      </c>
      <c r="S31" s="165">
        <f t="shared" si="5"/>
        <v>0</v>
      </c>
    </row>
    <row r="32" spans="2:20" x14ac:dyDescent="0.25">
      <c r="B32" s="1">
        <v>26</v>
      </c>
      <c r="C32" s="13">
        <v>46017</v>
      </c>
      <c r="D32" s="165">
        <v>10</v>
      </c>
      <c r="E32" s="165">
        <v>2107917</v>
      </c>
      <c r="F32" s="165">
        <v>107061</v>
      </c>
      <c r="G32" s="165"/>
      <c r="H32" s="165"/>
      <c r="I32" s="160">
        <f t="shared" si="0"/>
        <v>2214978</v>
      </c>
      <c r="J32" s="165">
        <v>2170738</v>
      </c>
      <c r="K32" s="160">
        <f t="shared" si="7"/>
        <v>44240</v>
      </c>
      <c r="L32" s="160">
        <f t="shared" si="2"/>
        <v>2214978</v>
      </c>
      <c r="M32" s="165">
        <v>164250</v>
      </c>
      <c r="N32" s="165"/>
      <c r="O32" s="165"/>
      <c r="P32" s="160">
        <f t="shared" si="3"/>
        <v>2050728</v>
      </c>
      <c r="Q32" s="165">
        <v>615218</v>
      </c>
      <c r="R32" s="165">
        <f t="shared" si="4"/>
        <v>615218.4</v>
      </c>
      <c r="S32" s="165">
        <f t="shared" si="5"/>
        <v>0.40000000002328306</v>
      </c>
    </row>
    <row r="33" spans="2:20" x14ac:dyDescent="0.25">
      <c r="B33" s="1">
        <v>27</v>
      </c>
      <c r="C33" s="13">
        <v>46018</v>
      </c>
      <c r="D33" s="165">
        <v>13</v>
      </c>
      <c r="E33" s="165">
        <v>851636</v>
      </c>
      <c r="F33" s="165">
        <v>2908454</v>
      </c>
      <c r="G33" s="165"/>
      <c r="H33" s="165"/>
      <c r="I33" s="160">
        <f t="shared" si="0"/>
        <v>3760090</v>
      </c>
      <c r="J33" s="165">
        <v>3743929</v>
      </c>
      <c r="K33" s="160">
        <f t="shared" si="7"/>
        <v>16161</v>
      </c>
      <c r="L33" s="160">
        <f t="shared" si="2"/>
        <v>3760090</v>
      </c>
      <c r="M33" s="165">
        <v>86000</v>
      </c>
      <c r="N33" s="165"/>
      <c r="O33" s="165">
        <v>2870</v>
      </c>
      <c r="P33" s="160">
        <f t="shared" si="3"/>
        <v>3671220</v>
      </c>
      <c r="Q33" s="165">
        <v>1101366</v>
      </c>
      <c r="R33" s="165">
        <f t="shared" si="4"/>
        <v>1101366</v>
      </c>
      <c r="S33" s="165">
        <f>R33-Q33</f>
        <v>0</v>
      </c>
    </row>
    <row r="34" spans="2:20" x14ac:dyDescent="0.25">
      <c r="B34" s="62">
        <v>28</v>
      </c>
      <c r="C34" s="220">
        <v>46019</v>
      </c>
      <c r="D34" s="61">
        <v>3</v>
      </c>
      <c r="E34" s="221">
        <v>121200</v>
      </c>
      <c r="F34" s="221">
        <v>96000</v>
      </c>
      <c r="G34" s="221"/>
      <c r="H34" s="221">
        <v>567750</v>
      </c>
      <c r="I34" s="221">
        <f>+E34+F34+G34+H34</f>
        <v>784950</v>
      </c>
      <c r="J34" s="221">
        <v>784950</v>
      </c>
      <c r="K34" s="221">
        <f>+I34-J34</f>
        <v>0</v>
      </c>
      <c r="L34" s="221">
        <f t="shared" si="2"/>
        <v>784950</v>
      </c>
      <c r="M34" s="221">
        <v>36750</v>
      </c>
      <c r="N34" s="61"/>
      <c r="O34" s="61"/>
      <c r="P34" s="222">
        <f t="shared" si="3"/>
        <v>748200</v>
      </c>
      <c r="Q34" s="221">
        <v>209460</v>
      </c>
      <c r="R34" s="222">
        <f>P34*30%</f>
        <v>224460</v>
      </c>
      <c r="S34" s="222">
        <f>R34-Q34</f>
        <v>15000</v>
      </c>
      <c r="T34" t="s">
        <v>514</v>
      </c>
    </row>
    <row r="35" spans="2:20" x14ac:dyDescent="0.25">
      <c r="B35" s="236">
        <v>29</v>
      </c>
      <c r="C35" s="217">
        <v>46020</v>
      </c>
      <c r="D35" s="237">
        <v>18</v>
      </c>
      <c r="E35" s="140">
        <v>4233018</v>
      </c>
      <c r="F35" s="237"/>
      <c r="G35" s="140">
        <v>33330</v>
      </c>
      <c r="H35" s="237"/>
      <c r="I35" s="238">
        <f t="shared" si="0"/>
        <v>4266348</v>
      </c>
      <c r="J35" s="140">
        <v>3862753</v>
      </c>
      <c r="K35" s="238">
        <f t="shared" si="7"/>
        <v>403595</v>
      </c>
      <c r="L35" s="238">
        <f t="shared" si="2"/>
        <v>4266348</v>
      </c>
      <c r="M35" s="140">
        <v>189750</v>
      </c>
      <c r="N35" s="237"/>
      <c r="O35" s="140">
        <v>103126</v>
      </c>
      <c r="P35" s="239">
        <f t="shared" si="3"/>
        <v>3973472</v>
      </c>
      <c r="Q35" s="140">
        <v>1185425</v>
      </c>
      <c r="R35" s="204">
        <f t="shared" si="4"/>
        <v>1192041.5999999999</v>
      </c>
      <c r="S35" s="204">
        <f t="shared" ref="S35:S37" si="8">R35-Q35</f>
        <v>6616.5999999998603</v>
      </c>
    </row>
    <row r="36" spans="2:20" s="233" customFormat="1" x14ac:dyDescent="0.25">
      <c r="B36" s="229">
        <v>30</v>
      </c>
      <c r="C36" s="230">
        <v>46021</v>
      </c>
      <c r="D36" s="231">
        <v>20</v>
      </c>
      <c r="E36" s="76">
        <v>4058934</v>
      </c>
      <c r="F36" s="234"/>
      <c r="G36" s="76">
        <v>30800</v>
      </c>
      <c r="H36" s="76">
        <v>1626350</v>
      </c>
      <c r="I36" s="232">
        <f t="shared" si="0"/>
        <v>5716084</v>
      </c>
      <c r="J36" s="76">
        <v>5276934</v>
      </c>
      <c r="K36" s="232">
        <f t="shared" si="7"/>
        <v>439150</v>
      </c>
      <c r="L36" s="232">
        <f t="shared" si="2"/>
        <v>5716084</v>
      </c>
      <c r="M36" s="76">
        <v>199500</v>
      </c>
      <c r="N36" s="76">
        <v>50000</v>
      </c>
      <c r="O36" s="76">
        <v>4000</v>
      </c>
      <c r="P36" s="160">
        <f t="shared" si="3"/>
        <v>5462584</v>
      </c>
      <c r="Q36" s="76">
        <v>1632665</v>
      </c>
      <c r="R36" s="165">
        <f t="shared" si="4"/>
        <v>1638775.2</v>
      </c>
      <c r="S36" s="165">
        <f t="shared" si="8"/>
        <v>6110.1999999999534</v>
      </c>
    </row>
    <row r="37" spans="2:20" ht="15.75" thickBot="1" x14ac:dyDescent="0.3">
      <c r="B37" s="241">
        <v>31</v>
      </c>
      <c r="C37" s="244">
        <v>46022</v>
      </c>
      <c r="D37" s="162">
        <v>11</v>
      </c>
      <c r="E37" s="165">
        <v>2256238</v>
      </c>
      <c r="F37" s="165">
        <v>1720537</v>
      </c>
      <c r="G37" s="165">
        <v>27775</v>
      </c>
      <c r="H37" s="165"/>
      <c r="I37" s="160">
        <f t="shared" si="0"/>
        <v>4004550</v>
      </c>
      <c r="J37" s="165">
        <v>2285532</v>
      </c>
      <c r="K37" s="160">
        <f t="shared" si="7"/>
        <v>1719018</v>
      </c>
      <c r="L37" s="160">
        <f t="shared" si="2"/>
        <v>4004550</v>
      </c>
      <c r="M37" s="165">
        <v>96000</v>
      </c>
      <c r="N37" s="165"/>
      <c r="O37" s="165"/>
      <c r="P37" s="160">
        <f t="shared" si="3"/>
        <v>3908550</v>
      </c>
      <c r="Q37" s="165">
        <v>1167060</v>
      </c>
      <c r="R37" s="204">
        <f t="shared" si="4"/>
        <v>1172565</v>
      </c>
      <c r="S37" s="204">
        <f t="shared" si="8"/>
        <v>5505</v>
      </c>
    </row>
    <row r="38" spans="2:20" ht="15.75" thickBot="1" x14ac:dyDescent="0.3">
      <c r="D38" s="5">
        <f>SUM(D7:D37)</f>
        <v>488</v>
      </c>
      <c r="L38" s="242">
        <f>SUM(L7:L37)</f>
        <v>111156313</v>
      </c>
      <c r="M38" s="242">
        <f>SUM(M7:M37)</f>
        <v>5215000</v>
      </c>
      <c r="P38" s="242">
        <f>SUM(P7:P37)</f>
        <v>103577330</v>
      </c>
      <c r="Q38" s="243">
        <f>SUM(Q7:Q37)</f>
        <v>30229817</v>
      </c>
      <c r="R38" s="12">
        <f>SUM(R7:R37)</f>
        <v>31073199</v>
      </c>
      <c r="S38" s="12">
        <f>SUM(S7:S37)</f>
        <v>843381.99999999884</v>
      </c>
    </row>
    <row r="40" spans="2:20" ht="15.75" thickBot="1" x14ac:dyDescent="0.3">
      <c r="B40" t="s">
        <v>488</v>
      </c>
    </row>
    <row r="41" spans="2:20" ht="15.75" thickBot="1" x14ac:dyDescent="0.3">
      <c r="B41" s="200" t="s">
        <v>489</v>
      </c>
      <c r="C41" s="103" t="s">
        <v>490</v>
      </c>
      <c r="D41" s="201"/>
      <c r="E41" s="201"/>
      <c r="F41" s="202"/>
      <c r="G41" s="203" t="s">
        <v>229</v>
      </c>
      <c r="J41" s="178" t="s">
        <v>499</v>
      </c>
      <c r="K41" s="179"/>
      <c r="L41" s="186">
        <f>Q38</f>
        <v>30229817</v>
      </c>
    </row>
    <row r="42" spans="2:20" ht="15.75" thickBot="1" x14ac:dyDescent="0.3">
      <c r="B42" s="184">
        <v>1</v>
      </c>
      <c r="C42" s="182" t="s">
        <v>491</v>
      </c>
      <c r="D42" s="183"/>
      <c r="E42" s="183"/>
      <c r="F42" s="181"/>
      <c r="G42" s="90">
        <v>100000</v>
      </c>
      <c r="J42" s="178" t="s">
        <v>500</v>
      </c>
      <c r="K42" s="179"/>
      <c r="L42" s="186">
        <f>G52</f>
        <v>7267800</v>
      </c>
    </row>
    <row r="43" spans="2:20" ht="15.75" thickBot="1" x14ac:dyDescent="0.3">
      <c r="B43" s="1">
        <v>2</v>
      </c>
      <c r="C43" s="21" t="s">
        <v>492</v>
      </c>
      <c r="D43" s="180"/>
      <c r="E43" s="180"/>
      <c r="F43" s="19"/>
      <c r="G43" s="3">
        <v>1740000</v>
      </c>
      <c r="L43" s="12">
        <f>L41-L42</f>
        <v>22962017</v>
      </c>
    </row>
    <row r="44" spans="2:20" ht="15.75" thickBot="1" x14ac:dyDescent="0.3">
      <c r="B44" s="1">
        <v>3</v>
      </c>
      <c r="C44" s="21" t="s">
        <v>493</v>
      </c>
      <c r="D44" s="180"/>
      <c r="E44" s="180"/>
      <c r="F44" s="19"/>
      <c r="G44" s="3">
        <v>800000</v>
      </c>
    </row>
    <row r="45" spans="2:20" ht="15.75" thickBot="1" x14ac:dyDescent="0.3">
      <c r="B45" s="1">
        <v>4</v>
      </c>
      <c r="C45" t="s">
        <v>494</v>
      </c>
      <c r="F45" s="19"/>
      <c r="G45" s="3">
        <v>500000</v>
      </c>
      <c r="J45" s="178" t="s">
        <v>502</v>
      </c>
      <c r="K45" s="179"/>
      <c r="L45" s="114">
        <v>100000000</v>
      </c>
    </row>
    <row r="46" spans="2:20" ht="15.75" thickBot="1" x14ac:dyDescent="0.3">
      <c r="B46" s="1">
        <v>5</v>
      </c>
      <c r="C46" s="21" t="s">
        <v>495</v>
      </c>
      <c r="D46" s="180"/>
      <c r="E46" s="180"/>
      <c r="F46" s="19"/>
      <c r="G46" s="3">
        <v>324150</v>
      </c>
      <c r="J46" s="178" t="s">
        <v>503</v>
      </c>
      <c r="K46" s="179"/>
      <c r="L46" s="186">
        <f>P38</f>
        <v>103577330</v>
      </c>
    </row>
    <row r="47" spans="2:20" ht="15.75" thickBot="1" x14ac:dyDescent="0.3">
      <c r="B47" s="1">
        <v>6</v>
      </c>
      <c r="C47" s="21" t="s">
        <v>496</v>
      </c>
      <c r="D47" s="180"/>
      <c r="E47" s="180"/>
      <c r="F47" s="19"/>
      <c r="G47" s="3">
        <v>252550</v>
      </c>
      <c r="L47" s="187">
        <f>L46/L45</f>
        <v>1.0357733</v>
      </c>
    </row>
    <row r="48" spans="2:20" x14ac:dyDescent="0.25">
      <c r="B48" s="1">
        <v>7</v>
      </c>
      <c r="C48" s="21" t="s">
        <v>497</v>
      </c>
      <c r="D48" s="180"/>
      <c r="E48" s="180"/>
      <c r="F48" s="19"/>
      <c r="G48" s="3">
        <v>176100</v>
      </c>
    </row>
    <row r="49" spans="2:7" x14ac:dyDescent="0.25">
      <c r="B49" s="1">
        <v>8</v>
      </c>
      <c r="C49" s="21" t="s">
        <v>498</v>
      </c>
      <c r="D49" s="180"/>
      <c r="E49" s="180"/>
      <c r="F49" s="19"/>
      <c r="G49" s="3">
        <v>75000</v>
      </c>
    </row>
    <row r="50" spans="2:7" x14ac:dyDescent="0.25">
      <c r="B50" s="1">
        <v>9</v>
      </c>
      <c r="C50" s="21" t="s">
        <v>501</v>
      </c>
      <c r="D50" s="180"/>
      <c r="E50" s="180"/>
      <c r="F50" s="19"/>
      <c r="G50" s="3">
        <v>3300000</v>
      </c>
    </row>
    <row r="51" spans="2:7" ht="15.75" thickBot="1" x14ac:dyDescent="0.3">
      <c r="B51" s="1"/>
      <c r="C51" s="21"/>
      <c r="D51" s="180"/>
      <c r="E51" s="180"/>
      <c r="F51" s="19"/>
      <c r="G51" s="185"/>
    </row>
    <row r="52" spans="2:7" ht="15.75" thickBot="1" x14ac:dyDescent="0.3">
      <c r="G52" s="177">
        <f>SUM(G42:G51)</f>
        <v>7267800</v>
      </c>
    </row>
    <row r="53" spans="2:7" x14ac:dyDescent="0.25">
      <c r="G53" s="18"/>
    </row>
    <row r="54" spans="2:7" x14ac:dyDescent="0.25">
      <c r="G54" s="18"/>
    </row>
  </sheetData>
  <mergeCells count="15">
    <mergeCell ref="A4:S4"/>
    <mergeCell ref="B5:B6"/>
    <mergeCell ref="C5:C6"/>
    <mergeCell ref="D5:D6"/>
    <mergeCell ref="E5:H5"/>
    <mergeCell ref="I5:I6"/>
    <mergeCell ref="J5:J6"/>
    <mergeCell ref="K5:K6"/>
    <mergeCell ref="L5:L6"/>
    <mergeCell ref="M5:M6"/>
    <mergeCell ref="S5:S6"/>
    <mergeCell ref="N5:N6"/>
    <mergeCell ref="O5:O6"/>
    <mergeCell ref="P5:P6"/>
    <mergeCell ref="Q5:Q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ECFFB-7C19-4D65-8F1F-F1A629102D4C}">
  <dimension ref="A1:T53"/>
  <sheetViews>
    <sheetView zoomScaleNormal="100" workbookViewId="0">
      <selection activeCell="L46" sqref="L46"/>
    </sheetView>
  </sheetViews>
  <sheetFormatPr defaultRowHeight="15" x14ac:dyDescent="0.25"/>
  <cols>
    <col min="1" max="1" width="1.28515625" customWidth="1"/>
    <col min="2" max="2" width="4.42578125" customWidth="1"/>
    <col min="3" max="3" width="11.140625" customWidth="1"/>
    <col min="4" max="4" width="9.28515625" bestFit="1" customWidth="1"/>
    <col min="5" max="5" width="11.42578125" customWidth="1"/>
    <col min="6" max="6" width="10.7109375" customWidth="1"/>
    <col min="7" max="7" width="10.5703125" customWidth="1"/>
    <col min="8" max="8" width="11.140625" customWidth="1"/>
    <col min="9" max="9" width="12" customWidth="1"/>
    <col min="10" max="10" width="11.42578125" customWidth="1"/>
    <col min="11" max="11" width="12.85546875" customWidth="1"/>
    <col min="12" max="12" width="13.5703125" customWidth="1"/>
    <col min="13" max="13" width="12.5703125" customWidth="1"/>
    <col min="14" max="14" width="9.7109375" customWidth="1"/>
    <col min="15" max="15" width="9.85546875" bestFit="1" customWidth="1"/>
    <col min="16" max="16" width="12.42578125" customWidth="1"/>
    <col min="17" max="17" width="13.85546875" customWidth="1"/>
    <col min="18" max="18" width="11.5703125" customWidth="1"/>
    <col min="19" max="19" width="12" customWidth="1"/>
  </cols>
  <sheetData>
    <row r="1" spans="1:20" ht="15.75" thickBot="1" x14ac:dyDescent="0.3"/>
    <row r="2" spans="1:20" ht="19.5" thickBot="1" x14ac:dyDescent="0.35">
      <c r="A2" s="350" t="s">
        <v>505</v>
      </c>
      <c r="B2" s="351"/>
      <c r="C2" s="351"/>
      <c r="D2" s="352"/>
      <c r="E2" s="350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2"/>
    </row>
    <row r="3" spans="1:20" ht="15.75" thickBot="1" x14ac:dyDescent="0.3">
      <c r="A3" s="288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  <c r="S3" s="288"/>
    </row>
    <row r="4" spans="1:20" ht="16.5" thickBot="1" x14ac:dyDescent="0.3">
      <c r="A4" s="1202" t="s">
        <v>543</v>
      </c>
      <c r="B4" s="1203"/>
      <c r="C4" s="1203"/>
      <c r="D4" s="1203"/>
      <c r="E4" s="1203"/>
      <c r="F4" s="1203"/>
      <c r="G4" s="1203"/>
      <c r="H4" s="1203"/>
      <c r="I4" s="1203"/>
      <c r="J4" s="1203"/>
      <c r="K4" s="1203"/>
      <c r="L4" s="1203"/>
      <c r="M4" s="1203"/>
      <c r="N4" s="1203"/>
      <c r="O4" s="1203"/>
      <c r="P4" s="1203"/>
      <c r="Q4" s="1203"/>
      <c r="R4" s="1203"/>
      <c r="S4" s="1204"/>
    </row>
    <row r="5" spans="1:20" ht="15.75" thickBot="1" x14ac:dyDescent="0.3">
      <c r="B5" s="1205" t="s">
        <v>504</v>
      </c>
      <c r="C5" s="1206" t="s">
        <v>0</v>
      </c>
      <c r="D5" s="1207" t="s">
        <v>1</v>
      </c>
      <c r="E5" s="1208" t="s">
        <v>2</v>
      </c>
      <c r="F5" s="1209"/>
      <c r="G5" s="1209"/>
      <c r="H5" s="1210"/>
      <c r="I5" s="1207" t="s">
        <v>3</v>
      </c>
      <c r="J5" s="1207" t="s">
        <v>4</v>
      </c>
      <c r="K5" s="1207" t="s">
        <v>5</v>
      </c>
      <c r="L5" s="1211" t="s">
        <v>6</v>
      </c>
      <c r="M5" s="1206" t="s">
        <v>7</v>
      </c>
      <c r="N5" s="1211" t="s">
        <v>8</v>
      </c>
      <c r="O5" s="1206" t="s">
        <v>9</v>
      </c>
      <c r="P5" s="1211" t="s">
        <v>10</v>
      </c>
      <c r="Q5" s="1206" t="s">
        <v>386</v>
      </c>
      <c r="R5" s="353" t="s">
        <v>11</v>
      </c>
      <c r="S5" s="1212" t="s">
        <v>387</v>
      </c>
    </row>
    <row r="6" spans="1:20" ht="15.75" thickBot="1" x14ac:dyDescent="0.3">
      <c r="B6" s="1188"/>
      <c r="C6" s="1190"/>
      <c r="D6" s="1192"/>
      <c r="E6" s="195" t="s">
        <v>13</v>
      </c>
      <c r="F6" s="301" t="s">
        <v>14</v>
      </c>
      <c r="G6" s="195" t="s">
        <v>15</v>
      </c>
      <c r="H6" s="195" t="s">
        <v>16</v>
      </c>
      <c r="I6" s="1192"/>
      <c r="J6" s="1192"/>
      <c r="K6" s="1192"/>
      <c r="L6" s="1199"/>
      <c r="M6" s="1190"/>
      <c r="N6" s="1199"/>
      <c r="O6" s="1190"/>
      <c r="P6" s="1199"/>
      <c r="Q6" s="1190"/>
      <c r="R6" s="198">
        <v>0.3</v>
      </c>
      <c r="S6" s="1201"/>
    </row>
    <row r="7" spans="1:20" x14ac:dyDescent="0.25">
      <c r="B7" s="184">
        <v>1</v>
      </c>
      <c r="C7" s="190">
        <v>46024</v>
      </c>
      <c r="D7" s="354">
        <v>11</v>
      </c>
      <c r="E7" s="300">
        <v>1019696</v>
      </c>
      <c r="F7" s="300">
        <v>326400</v>
      </c>
      <c r="G7" s="300">
        <v>30800</v>
      </c>
      <c r="H7" s="300">
        <v>559500</v>
      </c>
      <c r="I7" s="274">
        <f>+E7+F7+G7+H7</f>
        <v>1936396</v>
      </c>
      <c r="J7" s="300">
        <v>1583736</v>
      </c>
      <c r="K7" s="274">
        <f>+I7-J7</f>
        <v>352660</v>
      </c>
      <c r="L7" s="274">
        <f>+J7+K7</f>
        <v>1936396</v>
      </c>
      <c r="M7" s="300">
        <v>89750</v>
      </c>
      <c r="N7" s="275">
        <v>50000</v>
      </c>
      <c r="O7" s="274">
        <v>0</v>
      </c>
      <c r="P7" s="274">
        <f>+L7-M7-N7-O7</f>
        <v>1796646</v>
      </c>
      <c r="Q7" s="300">
        <v>532883</v>
      </c>
      <c r="R7" s="276">
        <f>P7*30%</f>
        <v>538993.79999999993</v>
      </c>
      <c r="S7" s="276">
        <f>R7-Q7</f>
        <v>6110.7999999999302</v>
      </c>
    </row>
    <row r="8" spans="1:20" x14ac:dyDescent="0.25">
      <c r="B8" s="1">
        <v>2</v>
      </c>
      <c r="C8" s="190">
        <v>46025</v>
      </c>
      <c r="D8" s="355">
        <v>16</v>
      </c>
      <c r="E8" s="277">
        <v>3968759</v>
      </c>
      <c r="F8" s="204"/>
      <c r="G8" s="204"/>
      <c r="H8" s="277">
        <v>751220</v>
      </c>
      <c r="I8" s="239">
        <f t="shared" ref="I8:I36" si="0">+E8+F8+G8+H8</f>
        <v>4719979</v>
      </c>
      <c r="J8" s="204">
        <v>4554439</v>
      </c>
      <c r="K8" s="239">
        <f t="shared" ref="K8:K10" si="1">+I8-J8</f>
        <v>165540</v>
      </c>
      <c r="L8" s="239">
        <f t="shared" ref="L8:L36" si="2">+J8+K8</f>
        <v>4719979</v>
      </c>
      <c r="M8" s="204">
        <v>376250</v>
      </c>
      <c r="N8" s="277">
        <v>50000</v>
      </c>
      <c r="O8" s="239">
        <v>8000</v>
      </c>
      <c r="P8" s="239">
        <f t="shared" ref="P8:P36" si="3">+L8-M8-N8-O8</f>
        <v>4285729</v>
      </c>
      <c r="Q8" s="204">
        <v>1285718</v>
      </c>
      <c r="R8" s="204">
        <f t="shared" ref="R8:R36" si="4">P8*30%</f>
        <v>1285718.7</v>
      </c>
      <c r="S8" s="165">
        <f t="shared" ref="S8:S32" si="5">R8-Q8</f>
        <v>0.69999999995343387</v>
      </c>
      <c r="T8" s="5"/>
    </row>
    <row r="9" spans="1:20" x14ac:dyDescent="0.25">
      <c r="B9" s="1">
        <v>3</v>
      </c>
      <c r="C9" s="190">
        <v>46026</v>
      </c>
      <c r="D9" s="355">
        <v>4</v>
      </c>
      <c r="E9" s="165">
        <v>805032</v>
      </c>
      <c r="F9" s="165"/>
      <c r="G9" s="165"/>
      <c r="H9" s="165">
        <v>446660</v>
      </c>
      <c r="I9" s="160">
        <f t="shared" si="0"/>
        <v>1251692</v>
      </c>
      <c r="J9" s="165">
        <v>805032</v>
      </c>
      <c r="K9" s="160">
        <f t="shared" si="1"/>
        <v>446660</v>
      </c>
      <c r="L9" s="160">
        <f t="shared" si="2"/>
        <v>1251692</v>
      </c>
      <c r="M9" s="160">
        <v>63000</v>
      </c>
      <c r="N9" s="165">
        <v>50000</v>
      </c>
      <c r="O9" s="165">
        <v>14000</v>
      </c>
      <c r="P9" s="160">
        <f t="shared" si="3"/>
        <v>1124692</v>
      </c>
      <c r="Q9" s="165">
        <v>337407</v>
      </c>
      <c r="R9" s="165">
        <f t="shared" si="4"/>
        <v>337407.6</v>
      </c>
      <c r="S9" s="161">
        <f t="shared" si="5"/>
        <v>0.59999999997671694</v>
      </c>
    </row>
    <row r="10" spans="1:20" x14ac:dyDescent="0.25">
      <c r="B10" s="1">
        <v>4</v>
      </c>
      <c r="C10" s="190">
        <v>46027</v>
      </c>
      <c r="D10" s="356">
        <v>22</v>
      </c>
      <c r="E10" s="294">
        <v>1071409</v>
      </c>
      <c r="F10" s="294"/>
      <c r="G10" s="294">
        <v>64130</v>
      </c>
      <c r="H10" s="294">
        <v>1183220</v>
      </c>
      <c r="I10" s="293">
        <f t="shared" si="0"/>
        <v>2318759</v>
      </c>
      <c r="J10" s="294">
        <v>2183924</v>
      </c>
      <c r="K10" s="293">
        <f t="shared" si="1"/>
        <v>134835</v>
      </c>
      <c r="L10" s="293">
        <f t="shared" si="2"/>
        <v>2318759</v>
      </c>
      <c r="M10" s="294">
        <v>83000</v>
      </c>
      <c r="N10" s="294">
        <v>50000</v>
      </c>
      <c r="O10" s="293"/>
      <c r="P10" s="293">
        <f t="shared" si="3"/>
        <v>2185759</v>
      </c>
      <c r="Q10" s="294">
        <v>643001</v>
      </c>
      <c r="R10" s="294">
        <f t="shared" si="4"/>
        <v>655727.69999999995</v>
      </c>
      <c r="S10" s="294">
        <f t="shared" si="5"/>
        <v>12726.699999999953</v>
      </c>
    </row>
    <row r="11" spans="1:20" x14ac:dyDescent="0.25">
      <c r="B11" s="1">
        <v>5</v>
      </c>
      <c r="C11" s="190">
        <v>46028</v>
      </c>
      <c r="D11" s="356">
        <v>16</v>
      </c>
      <c r="E11" s="294">
        <v>1831263</v>
      </c>
      <c r="F11" s="294"/>
      <c r="G11" s="294">
        <v>64130</v>
      </c>
      <c r="H11" s="294">
        <v>3044560</v>
      </c>
      <c r="I11" s="293">
        <f t="shared" si="0"/>
        <v>4939953</v>
      </c>
      <c r="J11" s="294">
        <v>3397249</v>
      </c>
      <c r="K11" s="293">
        <f>+I11-J11</f>
        <v>1542704</v>
      </c>
      <c r="L11" s="293">
        <f t="shared" si="2"/>
        <v>4939953</v>
      </c>
      <c r="M11" s="294">
        <v>200000</v>
      </c>
      <c r="N11" s="293">
        <v>50000</v>
      </c>
      <c r="O11" s="293"/>
      <c r="P11" s="293">
        <f t="shared" si="3"/>
        <v>4689953</v>
      </c>
      <c r="Q11" s="294">
        <v>1394259</v>
      </c>
      <c r="R11" s="294">
        <f t="shared" si="4"/>
        <v>1406985.9</v>
      </c>
      <c r="S11" s="294">
        <f t="shared" si="5"/>
        <v>12726.899999999907</v>
      </c>
    </row>
    <row r="12" spans="1:20" x14ac:dyDescent="0.25">
      <c r="B12" s="1">
        <v>6</v>
      </c>
      <c r="C12" s="190">
        <v>46029</v>
      </c>
      <c r="D12" s="355">
        <v>25</v>
      </c>
      <c r="E12" s="165">
        <v>3068222</v>
      </c>
      <c r="F12" s="165">
        <v>1140340</v>
      </c>
      <c r="G12" s="165">
        <v>27775</v>
      </c>
      <c r="H12" s="165">
        <v>2149900</v>
      </c>
      <c r="I12" s="160">
        <f t="shared" si="0"/>
        <v>6386237</v>
      </c>
      <c r="J12" s="165">
        <v>6218527</v>
      </c>
      <c r="K12" s="160">
        <f>+I12-J12</f>
        <v>167710</v>
      </c>
      <c r="L12" s="160">
        <f t="shared" si="2"/>
        <v>6386237</v>
      </c>
      <c r="M12" s="165">
        <v>272000</v>
      </c>
      <c r="N12" s="165">
        <v>100000</v>
      </c>
      <c r="O12" s="160"/>
      <c r="P12" s="160">
        <f t="shared" si="3"/>
        <v>6014237</v>
      </c>
      <c r="Q12" s="165">
        <v>1798766</v>
      </c>
      <c r="R12" s="165">
        <f t="shared" si="4"/>
        <v>1804271.0999999999</v>
      </c>
      <c r="S12" s="165">
        <f t="shared" si="5"/>
        <v>5505.0999999998603</v>
      </c>
    </row>
    <row r="13" spans="1:20" x14ac:dyDescent="0.25">
      <c r="B13" s="1">
        <v>7</v>
      </c>
      <c r="C13" s="190">
        <v>46030</v>
      </c>
      <c r="D13" s="357">
        <v>13</v>
      </c>
      <c r="E13" s="312">
        <v>1432084</v>
      </c>
      <c r="F13" s="312">
        <v>52521</v>
      </c>
      <c r="G13" s="312">
        <v>30800</v>
      </c>
      <c r="H13" s="313">
        <v>1729800</v>
      </c>
      <c r="I13" s="311">
        <f t="shared" si="0"/>
        <v>3245205</v>
      </c>
      <c r="J13" s="312">
        <v>3155718</v>
      </c>
      <c r="K13" s="311">
        <f>+I13-J13</f>
        <v>89487</v>
      </c>
      <c r="L13" s="311">
        <f t="shared" si="2"/>
        <v>3245205</v>
      </c>
      <c r="M13" s="312">
        <v>99250</v>
      </c>
      <c r="N13" s="311"/>
      <c r="O13" s="312">
        <v>40000</v>
      </c>
      <c r="P13" s="311">
        <f t="shared" si="3"/>
        <v>3105955</v>
      </c>
      <c r="Q13" s="312">
        <v>925676</v>
      </c>
      <c r="R13" s="312">
        <f t="shared" si="4"/>
        <v>931786.5</v>
      </c>
      <c r="S13" s="312">
        <f t="shared" si="5"/>
        <v>6110.5</v>
      </c>
      <c r="T13" t="s">
        <v>615</v>
      </c>
    </row>
    <row r="14" spans="1:20" x14ac:dyDescent="0.25">
      <c r="B14" s="1">
        <v>8</v>
      </c>
      <c r="C14" s="190">
        <v>46031</v>
      </c>
      <c r="D14" s="358">
        <v>29</v>
      </c>
      <c r="E14" s="312">
        <v>6456890</v>
      </c>
      <c r="F14" s="312">
        <v>634502</v>
      </c>
      <c r="G14" s="312">
        <v>84749</v>
      </c>
      <c r="H14" s="312">
        <v>2383160</v>
      </c>
      <c r="I14" s="311">
        <f t="shared" si="0"/>
        <v>9559301</v>
      </c>
      <c r="J14" s="312">
        <v>8683706</v>
      </c>
      <c r="K14" s="311">
        <f>+I14-J14</f>
        <v>875595</v>
      </c>
      <c r="L14" s="311">
        <f t="shared" si="2"/>
        <v>9559301</v>
      </c>
      <c r="M14" s="312">
        <v>370750</v>
      </c>
      <c r="N14" s="311">
        <v>100000</v>
      </c>
      <c r="O14" s="312">
        <v>154200</v>
      </c>
      <c r="P14" s="311">
        <f t="shared" si="3"/>
        <v>8934351</v>
      </c>
      <c r="Q14" s="312">
        <v>2667295</v>
      </c>
      <c r="R14" s="312">
        <f t="shared" si="4"/>
        <v>2680305.2999999998</v>
      </c>
      <c r="S14" s="312">
        <f t="shared" si="5"/>
        <v>13010.299999999814</v>
      </c>
    </row>
    <row r="15" spans="1:20" x14ac:dyDescent="0.25">
      <c r="B15" s="1">
        <v>9</v>
      </c>
      <c r="C15" s="190">
        <v>46032</v>
      </c>
      <c r="D15" s="358">
        <v>17</v>
      </c>
      <c r="E15" s="328">
        <v>2016761</v>
      </c>
      <c r="F15" s="328">
        <v>519140</v>
      </c>
      <c r="G15" s="327"/>
      <c r="H15" s="328">
        <v>5479625</v>
      </c>
      <c r="I15" s="327">
        <f t="shared" si="0"/>
        <v>8015526</v>
      </c>
      <c r="J15" s="328">
        <v>7888264</v>
      </c>
      <c r="K15" s="327">
        <f>+I15-J15</f>
        <v>127262</v>
      </c>
      <c r="L15" s="327">
        <f t="shared" si="2"/>
        <v>8015526</v>
      </c>
      <c r="M15" s="328">
        <v>224500</v>
      </c>
      <c r="N15" s="328">
        <v>150000</v>
      </c>
      <c r="O15" s="327"/>
      <c r="P15" s="327">
        <f t="shared" si="3"/>
        <v>7641026</v>
      </c>
      <c r="Q15" s="328">
        <v>2292307</v>
      </c>
      <c r="R15" s="328">
        <f t="shared" si="4"/>
        <v>2292307.7999999998</v>
      </c>
      <c r="S15" s="14">
        <f t="shared" si="5"/>
        <v>0.79999999981373549</v>
      </c>
    </row>
    <row r="16" spans="1:20" x14ac:dyDescent="0.25">
      <c r="B16" s="62">
        <v>10</v>
      </c>
      <c r="C16" s="329">
        <v>46033</v>
      </c>
      <c r="D16" s="359"/>
      <c r="E16" s="172"/>
      <c r="F16" s="172"/>
      <c r="G16" s="172"/>
      <c r="H16" s="172"/>
      <c r="I16" s="330">
        <f t="shared" si="0"/>
        <v>0</v>
      </c>
      <c r="J16" s="172"/>
      <c r="K16" s="330">
        <f t="shared" ref="K16:K36" si="6">+I16-J16</f>
        <v>0</v>
      </c>
      <c r="L16" s="330">
        <f t="shared" si="2"/>
        <v>0</v>
      </c>
      <c r="M16" s="330"/>
      <c r="N16" s="331"/>
      <c r="O16" s="330"/>
      <c r="P16" s="330">
        <f t="shared" si="3"/>
        <v>0</v>
      </c>
      <c r="Q16" s="172"/>
      <c r="R16" s="332">
        <f t="shared" si="4"/>
        <v>0</v>
      </c>
      <c r="S16" s="332">
        <f t="shared" si="5"/>
        <v>0</v>
      </c>
    </row>
    <row r="17" spans="2:20" x14ac:dyDescent="0.25">
      <c r="B17" s="1">
        <v>11</v>
      </c>
      <c r="C17" s="190">
        <v>46034</v>
      </c>
      <c r="D17" s="360">
        <v>20</v>
      </c>
      <c r="E17" s="328">
        <v>4499642</v>
      </c>
      <c r="F17" s="328"/>
      <c r="G17" s="328">
        <v>189806</v>
      </c>
      <c r="H17" s="328"/>
      <c r="I17" s="327">
        <f t="shared" si="0"/>
        <v>4689448</v>
      </c>
      <c r="J17" s="328">
        <v>4569056</v>
      </c>
      <c r="K17" s="327">
        <f t="shared" si="6"/>
        <v>120392</v>
      </c>
      <c r="L17" s="327">
        <f t="shared" si="2"/>
        <v>4689448</v>
      </c>
      <c r="M17" s="328">
        <v>205000</v>
      </c>
      <c r="N17" s="327"/>
      <c r="O17" s="328">
        <v>31300</v>
      </c>
      <c r="P17" s="327">
        <f t="shared" si="3"/>
        <v>4453148</v>
      </c>
      <c r="Q17" s="328">
        <v>1303753</v>
      </c>
      <c r="R17" s="328">
        <f t="shared" si="4"/>
        <v>1335944.3999999999</v>
      </c>
      <c r="S17" s="328">
        <f t="shared" si="5"/>
        <v>32191.399999999907</v>
      </c>
    </row>
    <row r="18" spans="2:20" x14ac:dyDescent="0.25">
      <c r="B18" s="1">
        <v>12</v>
      </c>
      <c r="C18" s="190">
        <v>46035</v>
      </c>
      <c r="D18" s="127">
        <v>13</v>
      </c>
      <c r="E18" s="165">
        <v>1276329</v>
      </c>
      <c r="F18" s="165">
        <v>1002400</v>
      </c>
      <c r="G18" s="165">
        <v>33330</v>
      </c>
      <c r="H18" s="160"/>
      <c r="I18" s="160">
        <f t="shared" si="0"/>
        <v>2312059</v>
      </c>
      <c r="J18" s="165">
        <v>1109460</v>
      </c>
      <c r="K18" s="160">
        <f t="shared" si="6"/>
        <v>1202599</v>
      </c>
      <c r="L18" s="160">
        <f t="shared" si="2"/>
        <v>2312059</v>
      </c>
      <c r="M18" s="165">
        <v>88000</v>
      </c>
      <c r="N18" s="160"/>
      <c r="O18" s="160"/>
      <c r="P18" s="160">
        <f t="shared" si="3"/>
        <v>2224059</v>
      </c>
      <c r="Q18" s="165">
        <v>660601</v>
      </c>
      <c r="R18" s="165">
        <f t="shared" si="4"/>
        <v>667217.69999999995</v>
      </c>
      <c r="S18" s="165">
        <f t="shared" si="5"/>
        <v>6616.6999999999534</v>
      </c>
    </row>
    <row r="19" spans="2:20" x14ac:dyDescent="0.25">
      <c r="B19" s="1">
        <v>13</v>
      </c>
      <c r="C19" s="190">
        <v>46036</v>
      </c>
      <c r="D19" s="371">
        <v>19</v>
      </c>
      <c r="E19" s="372">
        <v>2255763</v>
      </c>
      <c r="F19" s="372"/>
      <c r="G19" s="372">
        <v>84436</v>
      </c>
      <c r="H19" s="372">
        <v>1860990</v>
      </c>
      <c r="I19" s="371">
        <f t="shared" si="0"/>
        <v>4201189</v>
      </c>
      <c r="J19" s="372">
        <v>3856879</v>
      </c>
      <c r="K19" s="371">
        <f t="shared" si="6"/>
        <v>344310</v>
      </c>
      <c r="L19" s="371">
        <f t="shared" si="2"/>
        <v>4201189</v>
      </c>
      <c r="M19" s="372">
        <v>143250</v>
      </c>
      <c r="N19" s="372">
        <v>100000</v>
      </c>
      <c r="O19" s="371"/>
      <c r="P19" s="371">
        <f t="shared" si="3"/>
        <v>3957939</v>
      </c>
      <c r="Q19" s="372">
        <v>1170644</v>
      </c>
      <c r="R19" s="372">
        <f t="shared" si="4"/>
        <v>1187381.7</v>
      </c>
      <c r="S19" s="372">
        <f t="shared" si="5"/>
        <v>16737.699999999953</v>
      </c>
    </row>
    <row r="20" spans="2:20" x14ac:dyDescent="0.25">
      <c r="B20" s="1">
        <v>14</v>
      </c>
      <c r="C20" s="190">
        <v>46037</v>
      </c>
      <c r="D20" s="127">
        <v>21</v>
      </c>
      <c r="E20" s="165">
        <v>3664538</v>
      </c>
      <c r="F20" s="165">
        <v>602364</v>
      </c>
      <c r="G20" s="165">
        <v>64130</v>
      </c>
      <c r="H20" s="165">
        <v>619910</v>
      </c>
      <c r="I20" s="160">
        <f t="shared" si="0"/>
        <v>4950942</v>
      </c>
      <c r="J20" s="165">
        <v>4696826</v>
      </c>
      <c r="K20" s="160">
        <f t="shared" si="6"/>
        <v>254116</v>
      </c>
      <c r="L20" s="160">
        <f t="shared" si="2"/>
        <v>4950942</v>
      </c>
      <c r="M20" s="165">
        <v>169750</v>
      </c>
      <c r="N20" s="165">
        <v>50000</v>
      </c>
      <c r="O20" s="165">
        <v>70960</v>
      </c>
      <c r="P20" s="160">
        <f t="shared" si="3"/>
        <v>4660232</v>
      </c>
      <c r="Q20" s="165">
        <v>1385343</v>
      </c>
      <c r="R20" s="165">
        <f t="shared" si="4"/>
        <v>1398069.5999999999</v>
      </c>
      <c r="S20" s="165">
        <f t="shared" si="5"/>
        <v>12726.59999999986</v>
      </c>
    </row>
    <row r="21" spans="2:20" x14ac:dyDescent="0.25">
      <c r="B21" s="1">
        <v>15</v>
      </c>
      <c r="C21" s="190">
        <v>46038</v>
      </c>
      <c r="D21" s="160">
        <v>4</v>
      </c>
      <c r="E21" s="165">
        <v>550840</v>
      </c>
      <c r="F21" s="165"/>
      <c r="G21" s="165"/>
      <c r="H21" s="160"/>
      <c r="I21" s="165">
        <f t="shared" si="0"/>
        <v>550840</v>
      </c>
      <c r="J21" s="165">
        <v>485186</v>
      </c>
      <c r="K21" s="160">
        <f t="shared" si="6"/>
        <v>65654</v>
      </c>
      <c r="L21" s="160">
        <f t="shared" si="2"/>
        <v>550840</v>
      </c>
      <c r="M21" s="165">
        <v>22000</v>
      </c>
      <c r="N21" s="160"/>
      <c r="O21" s="160"/>
      <c r="P21" s="160">
        <f t="shared" si="3"/>
        <v>528840</v>
      </c>
      <c r="Q21" s="165">
        <v>158652</v>
      </c>
      <c r="R21" s="165">
        <f t="shared" si="4"/>
        <v>158652</v>
      </c>
      <c r="S21" s="165">
        <f t="shared" si="5"/>
        <v>0</v>
      </c>
    </row>
    <row r="22" spans="2:20" x14ac:dyDescent="0.25">
      <c r="B22" s="1">
        <v>16</v>
      </c>
      <c r="C22" s="190">
        <v>46039</v>
      </c>
      <c r="D22" s="160">
        <v>21</v>
      </c>
      <c r="E22" s="165">
        <v>4067571</v>
      </c>
      <c r="F22" s="165"/>
      <c r="G22" s="165"/>
      <c r="H22" s="165"/>
      <c r="I22" s="160">
        <f t="shared" si="0"/>
        <v>4067571</v>
      </c>
      <c r="J22" s="165">
        <v>3611860</v>
      </c>
      <c r="K22" s="160">
        <f t="shared" si="6"/>
        <v>455711</v>
      </c>
      <c r="L22" s="160">
        <f t="shared" si="2"/>
        <v>4067571</v>
      </c>
      <c r="M22" s="165">
        <v>193500</v>
      </c>
      <c r="N22" s="160"/>
      <c r="O22" s="160"/>
      <c r="P22" s="160">
        <f t="shared" si="3"/>
        <v>3874071</v>
      </c>
      <c r="Q22" s="165">
        <v>1162221</v>
      </c>
      <c r="R22" s="165">
        <f t="shared" si="4"/>
        <v>1162221.3</v>
      </c>
      <c r="S22" s="165">
        <f t="shared" si="5"/>
        <v>0.30000000004656613</v>
      </c>
    </row>
    <row r="23" spans="2:20" x14ac:dyDescent="0.25">
      <c r="B23" s="1">
        <v>17</v>
      </c>
      <c r="C23" s="190">
        <v>46040</v>
      </c>
      <c r="D23" s="160">
        <v>1</v>
      </c>
      <c r="E23" s="165">
        <v>151500</v>
      </c>
      <c r="F23" s="160"/>
      <c r="G23" s="160"/>
      <c r="H23" s="160"/>
      <c r="I23" s="160">
        <f t="shared" si="0"/>
        <v>151500</v>
      </c>
      <c r="J23" s="165">
        <v>151500</v>
      </c>
      <c r="K23" s="160">
        <f t="shared" si="6"/>
        <v>0</v>
      </c>
      <c r="L23" s="160">
        <f t="shared" si="2"/>
        <v>151500</v>
      </c>
      <c r="M23" s="165">
        <v>5000</v>
      </c>
      <c r="N23" s="160"/>
      <c r="O23" s="160"/>
      <c r="P23" s="160">
        <f t="shared" si="3"/>
        <v>146500</v>
      </c>
      <c r="Q23" s="165">
        <v>43950</v>
      </c>
      <c r="R23" s="165">
        <f t="shared" si="4"/>
        <v>43950</v>
      </c>
      <c r="S23" s="165">
        <f t="shared" si="5"/>
        <v>0</v>
      </c>
    </row>
    <row r="24" spans="2:20" x14ac:dyDescent="0.25">
      <c r="B24" s="1">
        <v>18</v>
      </c>
      <c r="C24" s="190">
        <v>46041</v>
      </c>
      <c r="D24" s="165">
        <v>38</v>
      </c>
      <c r="E24" s="165">
        <v>5427767</v>
      </c>
      <c r="F24" s="165">
        <v>96003</v>
      </c>
      <c r="G24" s="165">
        <v>30800</v>
      </c>
      <c r="H24" s="160"/>
      <c r="I24" s="160">
        <f t="shared" si="0"/>
        <v>5554570</v>
      </c>
      <c r="J24" s="165">
        <v>5189050</v>
      </c>
      <c r="K24" s="160">
        <f t="shared" si="6"/>
        <v>365520</v>
      </c>
      <c r="L24" s="160">
        <f t="shared" si="2"/>
        <v>5554570</v>
      </c>
      <c r="M24" s="165">
        <v>237500</v>
      </c>
      <c r="N24" s="160"/>
      <c r="O24" s="165">
        <v>70000</v>
      </c>
      <c r="P24" s="160">
        <f t="shared" si="3"/>
        <v>5247070</v>
      </c>
      <c r="Q24" s="165">
        <v>1568011</v>
      </c>
      <c r="R24" s="165">
        <f t="shared" si="4"/>
        <v>1574121</v>
      </c>
      <c r="S24" s="165">
        <f t="shared" si="5"/>
        <v>6110</v>
      </c>
    </row>
    <row r="25" spans="2:20" x14ac:dyDescent="0.25">
      <c r="B25" s="1">
        <v>19</v>
      </c>
      <c r="C25" s="190">
        <v>46042</v>
      </c>
      <c r="D25" s="165">
        <v>21</v>
      </c>
      <c r="E25" s="165">
        <v>768719</v>
      </c>
      <c r="F25" s="165">
        <v>40400</v>
      </c>
      <c r="G25" s="165">
        <v>115236</v>
      </c>
      <c r="H25" s="160"/>
      <c r="I25" s="160">
        <f t="shared" si="0"/>
        <v>924355</v>
      </c>
      <c r="J25" s="165">
        <v>592871</v>
      </c>
      <c r="K25" s="160">
        <f t="shared" si="6"/>
        <v>331484</v>
      </c>
      <c r="L25" s="160">
        <f t="shared" si="2"/>
        <v>924355</v>
      </c>
      <c r="M25" s="165">
        <v>36750</v>
      </c>
      <c r="N25" s="160"/>
      <c r="O25" s="160"/>
      <c r="P25" s="160">
        <f t="shared" si="3"/>
        <v>887605</v>
      </c>
      <c r="Q25" s="165">
        <v>243434</v>
      </c>
      <c r="R25" s="165">
        <f>P25*30%</f>
        <v>266281.5</v>
      </c>
      <c r="S25" s="165">
        <f t="shared" si="5"/>
        <v>22847.5</v>
      </c>
    </row>
    <row r="26" spans="2:20" x14ac:dyDescent="0.25">
      <c r="B26" s="1">
        <v>20</v>
      </c>
      <c r="C26" s="190">
        <v>46043</v>
      </c>
      <c r="D26" s="160">
        <v>14</v>
      </c>
      <c r="E26" s="165">
        <v>1356533</v>
      </c>
      <c r="F26" s="165">
        <v>74740</v>
      </c>
      <c r="G26" s="165">
        <v>27775</v>
      </c>
      <c r="H26" s="160"/>
      <c r="I26" s="160">
        <f t="shared" si="0"/>
        <v>1459048</v>
      </c>
      <c r="J26" s="165">
        <v>259775</v>
      </c>
      <c r="K26" s="160">
        <f t="shared" si="6"/>
        <v>1199273</v>
      </c>
      <c r="L26" s="160">
        <f t="shared" si="2"/>
        <v>1459048</v>
      </c>
      <c r="M26" s="165">
        <v>114000</v>
      </c>
      <c r="N26" s="160"/>
      <c r="O26" s="165">
        <v>10000</v>
      </c>
      <c r="P26" s="160">
        <f t="shared" si="3"/>
        <v>1335048</v>
      </c>
      <c r="Q26" s="165">
        <v>395009</v>
      </c>
      <c r="R26" s="165">
        <f t="shared" si="4"/>
        <v>400514.39999999997</v>
      </c>
      <c r="S26" s="165">
        <f t="shared" si="5"/>
        <v>5505.3999999999651</v>
      </c>
      <c r="T26" s="141"/>
    </row>
    <row r="27" spans="2:20" x14ac:dyDescent="0.25">
      <c r="B27" s="1">
        <v>21</v>
      </c>
      <c r="C27" s="190">
        <v>46044</v>
      </c>
      <c r="D27" s="165">
        <v>17</v>
      </c>
      <c r="E27" s="165">
        <v>3973597</v>
      </c>
      <c r="F27" s="165">
        <v>248864</v>
      </c>
      <c r="G27" s="165">
        <v>119988</v>
      </c>
      <c r="H27" s="165">
        <v>3165700</v>
      </c>
      <c r="I27" s="160">
        <f t="shared" si="0"/>
        <v>7508149</v>
      </c>
      <c r="J27" s="165">
        <v>6559758</v>
      </c>
      <c r="K27" s="160">
        <f t="shared" si="6"/>
        <v>948391</v>
      </c>
      <c r="L27" s="160">
        <f t="shared" si="2"/>
        <v>7508149</v>
      </c>
      <c r="M27" s="165">
        <v>246250</v>
      </c>
      <c r="N27" s="165">
        <v>100000</v>
      </c>
      <c r="O27" s="165">
        <v>126000</v>
      </c>
      <c r="P27" s="160">
        <f t="shared" si="3"/>
        <v>7035899</v>
      </c>
      <c r="Q27" s="165">
        <v>2086922</v>
      </c>
      <c r="R27" s="160">
        <f t="shared" si="4"/>
        <v>2110769.6999999997</v>
      </c>
      <c r="S27" s="165">
        <f t="shared" si="5"/>
        <v>23847.699999999721</v>
      </c>
    </row>
    <row r="28" spans="2:20" x14ac:dyDescent="0.25">
      <c r="B28" s="1">
        <v>22</v>
      </c>
      <c r="C28" s="190">
        <v>46045</v>
      </c>
      <c r="D28" s="160">
        <v>12</v>
      </c>
      <c r="E28" s="165">
        <v>453191</v>
      </c>
      <c r="F28" s="160"/>
      <c r="G28" s="165">
        <v>27775</v>
      </c>
      <c r="H28" s="160"/>
      <c r="I28" s="160">
        <f>+E28+F28+G28+H28</f>
        <v>480966</v>
      </c>
      <c r="J28" s="165">
        <v>197156</v>
      </c>
      <c r="K28" s="160">
        <f t="shared" si="6"/>
        <v>283810</v>
      </c>
      <c r="L28" s="160">
        <f t="shared" si="2"/>
        <v>480966</v>
      </c>
      <c r="M28" s="165">
        <v>28500</v>
      </c>
      <c r="N28" s="160"/>
      <c r="O28" s="160"/>
      <c r="P28" s="160">
        <f t="shared" si="3"/>
        <v>452466</v>
      </c>
      <c r="Q28" s="165">
        <v>130234</v>
      </c>
      <c r="R28" s="160">
        <f t="shared" si="4"/>
        <v>135739.79999999999</v>
      </c>
      <c r="S28" s="160">
        <f t="shared" si="5"/>
        <v>5505.7999999999884</v>
      </c>
    </row>
    <row r="29" spans="2:20" x14ac:dyDescent="0.25">
      <c r="B29" s="1">
        <v>23</v>
      </c>
      <c r="C29" s="190">
        <v>46046</v>
      </c>
      <c r="D29" s="162">
        <v>25</v>
      </c>
      <c r="E29" s="165">
        <v>2227718</v>
      </c>
      <c r="F29" s="165">
        <v>239976</v>
      </c>
      <c r="G29" s="160"/>
      <c r="H29" s="165">
        <v>1842240</v>
      </c>
      <c r="I29" s="160">
        <f t="shared" si="0"/>
        <v>4309934</v>
      </c>
      <c r="J29" s="165">
        <v>4063880</v>
      </c>
      <c r="K29" s="160">
        <f t="shared" si="6"/>
        <v>246054</v>
      </c>
      <c r="L29" s="160">
        <f t="shared" si="2"/>
        <v>4309934</v>
      </c>
      <c r="M29" s="165">
        <v>200000</v>
      </c>
      <c r="N29" s="160"/>
      <c r="O29" s="160"/>
      <c r="P29" s="160">
        <f t="shared" si="3"/>
        <v>4109934</v>
      </c>
      <c r="Q29" s="165">
        <v>1232980</v>
      </c>
      <c r="R29" s="160">
        <f t="shared" si="4"/>
        <v>1232980.2</v>
      </c>
      <c r="S29" s="160">
        <f t="shared" si="5"/>
        <v>0.19999999995343387</v>
      </c>
    </row>
    <row r="30" spans="2:20" x14ac:dyDescent="0.25">
      <c r="B30" s="1">
        <v>24</v>
      </c>
      <c r="C30" s="190">
        <v>46047</v>
      </c>
      <c r="D30" s="162">
        <v>1</v>
      </c>
      <c r="E30" s="76">
        <v>393900</v>
      </c>
      <c r="F30" s="165"/>
      <c r="G30" s="165"/>
      <c r="H30" s="165"/>
      <c r="I30" s="160">
        <f t="shared" si="0"/>
        <v>393900</v>
      </c>
      <c r="J30" s="76">
        <v>393900</v>
      </c>
      <c r="K30" s="160">
        <f t="shared" si="6"/>
        <v>0</v>
      </c>
      <c r="L30" s="160">
        <f t="shared" si="2"/>
        <v>393900</v>
      </c>
      <c r="M30" s="76">
        <v>9750</v>
      </c>
      <c r="N30" s="165"/>
      <c r="O30" s="165"/>
      <c r="P30" s="160">
        <f t="shared" si="3"/>
        <v>384150</v>
      </c>
      <c r="Q30" s="76">
        <v>115245</v>
      </c>
      <c r="R30" s="165">
        <f t="shared" si="4"/>
        <v>115245</v>
      </c>
      <c r="S30" s="165">
        <f t="shared" si="5"/>
        <v>0</v>
      </c>
    </row>
    <row r="31" spans="2:20" x14ac:dyDescent="0.25">
      <c r="B31" s="1">
        <v>25</v>
      </c>
      <c r="C31" s="190">
        <v>46048</v>
      </c>
      <c r="D31" s="165">
        <v>14</v>
      </c>
      <c r="E31" s="165">
        <v>1017228</v>
      </c>
      <c r="F31" s="165"/>
      <c r="G31" s="165">
        <v>27775</v>
      </c>
      <c r="H31" s="165">
        <v>625250</v>
      </c>
      <c r="I31" s="160">
        <f t="shared" si="0"/>
        <v>1670253</v>
      </c>
      <c r="J31" s="165">
        <v>1170101</v>
      </c>
      <c r="K31" s="160">
        <f t="shared" si="6"/>
        <v>500152</v>
      </c>
      <c r="L31" s="160">
        <f t="shared" si="2"/>
        <v>1670253</v>
      </c>
      <c r="M31" s="165">
        <v>106250</v>
      </c>
      <c r="N31" s="165">
        <v>50000</v>
      </c>
      <c r="O31" s="165"/>
      <c r="P31" s="160">
        <f t="shared" si="3"/>
        <v>1514003</v>
      </c>
      <c r="Q31" s="165">
        <v>448695</v>
      </c>
      <c r="R31" s="165">
        <f t="shared" si="4"/>
        <v>454200.89999999997</v>
      </c>
      <c r="S31" s="165">
        <f t="shared" si="5"/>
        <v>5505.8999999999651</v>
      </c>
    </row>
    <row r="32" spans="2:20" x14ac:dyDescent="0.25">
      <c r="B32" s="1">
        <v>26</v>
      </c>
      <c r="C32" s="190">
        <v>46049</v>
      </c>
      <c r="D32" s="165">
        <v>54</v>
      </c>
      <c r="E32" s="165">
        <v>1644678</v>
      </c>
      <c r="F32" s="165"/>
      <c r="G32" s="165">
        <v>91905</v>
      </c>
      <c r="H32" s="165"/>
      <c r="I32" s="160">
        <f t="shared" si="0"/>
        <v>1736583</v>
      </c>
      <c r="J32" s="165">
        <v>1254963</v>
      </c>
      <c r="K32" s="160">
        <f t="shared" si="6"/>
        <v>481620</v>
      </c>
      <c r="L32" s="160">
        <f t="shared" si="2"/>
        <v>1736583</v>
      </c>
      <c r="M32" s="165">
        <v>86500</v>
      </c>
      <c r="N32" s="165"/>
      <c r="O32" s="165"/>
      <c r="P32" s="160">
        <f t="shared" si="3"/>
        <v>1650083</v>
      </c>
      <c r="Q32" s="165">
        <v>476793</v>
      </c>
      <c r="R32" s="165">
        <f t="shared" si="4"/>
        <v>495024.89999999997</v>
      </c>
      <c r="S32" s="165">
        <f t="shared" si="5"/>
        <v>18231.899999999965</v>
      </c>
    </row>
    <row r="33" spans="1:20" x14ac:dyDescent="0.25">
      <c r="B33" s="1">
        <v>27</v>
      </c>
      <c r="C33" s="190">
        <v>46050</v>
      </c>
      <c r="D33" s="165">
        <v>20</v>
      </c>
      <c r="E33" s="165">
        <v>7742789</v>
      </c>
      <c r="F33" s="165">
        <v>40401</v>
      </c>
      <c r="G33" s="165">
        <v>101261</v>
      </c>
      <c r="H33" s="165">
        <v>770940</v>
      </c>
      <c r="I33" s="160">
        <f t="shared" si="0"/>
        <v>8655391</v>
      </c>
      <c r="J33" s="165">
        <v>8458076</v>
      </c>
      <c r="K33" s="160">
        <f t="shared" si="6"/>
        <v>197315</v>
      </c>
      <c r="L33" s="160">
        <f t="shared" si="2"/>
        <v>8655391</v>
      </c>
      <c r="M33" s="165">
        <v>582750</v>
      </c>
      <c r="N33" s="165">
        <v>50000</v>
      </c>
      <c r="O33" s="165">
        <v>382482</v>
      </c>
      <c r="P33" s="160">
        <f t="shared" si="3"/>
        <v>7640159</v>
      </c>
      <c r="Q33" s="165">
        <v>2274705</v>
      </c>
      <c r="R33" s="165">
        <f t="shared" si="4"/>
        <v>2292047.6999999997</v>
      </c>
      <c r="S33" s="165">
        <f>R33-Q33</f>
        <v>17342.699999999721</v>
      </c>
    </row>
    <row r="34" spans="1:20" x14ac:dyDescent="0.25">
      <c r="B34" s="1">
        <v>28</v>
      </c>
      <c r="C34" s="190">
        <v>46051</v>
      </c>
      <c r="D34" s="4">
        <v>11</v>
      </c>
      <c r="E34" s="162">
        <v>1204539</v>
      </c>
      <c r="F34" s="160"/>
      <c r="G34" s="160"/>
      <c r="H34" s="160"/>
      <c r="I34" s="160">
        <f>+E34+F34+G34+H34</f>
        <v>1204539</v>
      </c>
      <c r="J34" s="165">
        <v>468149</v>
      </c>
      <c r="K34" s="160">
        <f>+I34-J34</f>
        <v>736390</v>
      </c>
      <c r="L34" s="160">
        <f t="shared" si="2"/>
        <v>1204539</v>
      </c>
      <c r="M34" s="165">
        <v>78500</v>
      </c>
      <c r="N34" s="165"/>
      <c r="O34" s="165">
        <v>11123</v>
      </c>
      <c r="P34" s="160">
        <f t="shared" si="3"/>
        <v>1114916</v>
      </c>
      <c r="Q34" s="165">
        <v>334474</v>
      </c>
      <c r="R34" s="160">
        <f>P34*30%</f>
        <v>334474.8</v>
      </c>
      <c r="S34" s="160">
        <f>R34-Q34</f>
        <v>0.79999999998835847</v>
      </c>
    </row>
    <row r="35" spans="1:20" x14ac:dyDescent="0.25">
      <c r="B35" s="236">
        <v>29</v>
      </c>
      <c r="C35" s="190">
        <v>46052</v>
      </c>
      <c r="D35" s="493">
        <v>12</v>
      </c>
      <c r="E35" s="494">
        <v>456213</v>
      </c>
      <c r="F35" s="494"/>
      <c r="G35" s="494">
        <v>64130</v>
      </c>
      <c r="H35" s="494">
        <v>559500</v>
      </c>
      <c r="I35" s="495">
        <f t="shared" si="0"/>
        <v>1079843</v>
      </c>
      <c r="J35" s="494">
        <v>914506</v>
      </c>
      <c r="K35" s="495">
        <f t="shared" si="6"/>
        <v>165337</v>
      </c>
      <c r="L35" s="495">
        <f t="shared" si="2"/>
        <v>1079843</v>
      </c>
      <c r="M35" s="494">
        <v>49250</v>
      </c>
      <c r="N35" s="494">
        <v>50000</v>
      </c>
      <c r="O35" s="494"/>
      <c r="P35" s="495">
        <f t="shared" si="3"/>
        <v>980593</v>
      </c>
      <c r="Q35" s="494">
        <v>281451</v>
      </c>
      <c r="R35" s="494">
        <f t="shared" si="4"/>
        <v>294177.89999999997</v>
      </c>
      <c r="S35" s="494">
        <f t="shared" ref="S35:S36" si="7">R35-Q35</f>
        <v>12726.899999999965</v>
      </c>
    </row>
    <row r="36" spans="1:20" ht="15.75" thickBot="1" x14ac:dyDescent="0.3">
      <c r="A36" s="233"/>
      <c r="B36" s="229">
        <v>30</v>
      </c>
      <c r="C36" s="190">
        <v>46053</v>
      </c>
      <c r="D36" s="204">
        <v>10</v>
      </c>
      <c r="E36" s="165">
        <v>882109</v>
      </c>
      <c r="F36" s="165">
        <v>40401</v>
      </c>
      <c r="G36" s="165">
        <v>279972</v>
      </c>
      <c r="H36" s="165"/>
      <c r="I36" s="160">
        <f t="shared" si="0"/>
        <v>1202482</v>
      </c>
      <c r="J36" s="165">
        <v>1050981</v>
      </c>
      <c r="K36" s="160">
        <f t="shared" si="6"/>
        <v>151501</v>
      </c>
      <c r="L36" s="239">
        <f t="shared" si="2"/>
        <v>1202482</v>
      </c>
      <c r="M36" s="204">
        <v>47250</v>
      </c>
      <c r="N36" s="165"/>
      <c r="O36" s="165"/>
      <c r="P36" s="160">
        <f t="shared" si="3"/>
        <v>1155232</v>
      </c>
      <c r="Q36" s="165">
        <v>291025</v>
      </c>
      <c r="R36" s="165">
        <f t="shared" si="4"/>
        <v>346569.6</v>
      </c>
      <c r="S36" s="165">
        <f t="shared" si="7"/>
        <v>55544.599999999977</v>
      </c>
      <c r="T36" s="233"/>
    </row>
    <row r="37" spans="1:20" ht="15.75" thickBot="1" x14ac:dyDescent="0.3">
      <c r="D37" s="12">
        <f>SUM(D7:D36)</f>
        <v>501</v>
      </c>
      <c r="L37" s="12">
        <f>SUM(L7:L36)</f>
        <v>99476610</v>
      </c>
      <c r="M37" s="12">
        <f>SUM(M7:M36)</f>
        <v>4428250</v>
      </c>
      <c r="O37" s="242">
        <f>SUM(O7:O36)</f>
        <v>918065</v>
      </c>
      <c r="P37" s="242">
        <f>SUM(P7:P36)</f>
        <v>93130295</v>
      </c>
      <c r="Q37" s="243">
        <f>SUM(Q7:Q36)</f>
        <v>27641454</v>
      </c>
      <c r="R37" s="242">
        <f>SUM(R7:R36)</f>
        <v>27939088.499999993</v>
      </c>
      <c r="S37" s="242">
        <f>SUM(S7:S36)</f>
        <v>297634.49999999814</v>
      </c>
    </row>
    <row r="39" spans="1:20" ht="15.75" thickBot="1" x14ac:dyDescent="0.3">
      <c r="B39" t="s">
        <v>488</v>
      </c>
    </row>
    <row r="40" spans="1:20" ht="15.75" thickBot="1" x14ac:dyDescent="0.3">
      <c r="B40" s="200" t="s">
        <v>489</v>
      </c>
      <c r="C40" s="103" t="s">
        <v>490</v>
      </c>
      <c r="D40" s="201"/>
      <c r="E40" s="201"/>
      <c r="F40" s="202"/>
      <c r="G40" s="203" t="s">
        <v>229</v>
      </c>
      <c r="J40" s="178" t="s">
        <v>499</v>
      </c>
      <c r="K40" s="179"/>
      <c r="L40" s="186">
        <f>Q37</f>
        <v>27641454</v>
      </c>
    </row>
    <row r="41" spans="1:20" ht="15.75" thickBot="1" x14ac:dyDescent="0.3">
      <c r="B41" s="184">
        <v>1</v>
      </c>
      <c r="C41" s="182" t="s">
        <v>491</v>
      </c>
      <c r="D41" s="183"/>
      <c r="E41" s="183"/>
      <c r="F41" s="181"/>
      <c r="G41" s="90"/>
      <c r="J41" s="178" t="s">
        <v>500</v>
      </c>
      <c r="K41" s="179"/>
      <c r="L41" s="186">
        <f>G51</f>
        <v>0</v>
      </c>
    </row>
    <row r="42" spans="1:20" ht="15.75" thickBot="1" x14ac:dyDescent="0.3">
      <c r="B42" s="1">
        <v>2</v>
      </c>
      <c r="C42" s="21" t="s">
        <v>492</v>
      </c>
      <c r="D42" s="180"/>
      <c r="E42" s="180"/>
      <c r="F42" s="19"/>
      <c r="G42" s="3"/>
      <c r="L42" s="12">
        <f>L40-L41</f>
        <v>27641454</v>
      </c>
    </row>
    <row r="43" spans="1:20" ht="15.75" thickBot="1" x14ac:dyDescent="0.3">
      <c r="B43" s="1">
        <v>3</v>
      </c>
      <c r="C43" s="21" t="s">
        <v>493</v>
      </c>
      <c r="D43" s="180"/>
      <c r="E43" s="180"/>
      <c r="F43" s="19"/>
      <c r="G43" s="3"/>
    </row>
    <row r="44" spans="1:20" ht="15.75" thickBot="1" x14ac:dyDescent="0.3">
      <c r="B44" s="1">
        <v>4</v>
      </c>
      <c r="C44" t="s">
        <v>494</v>
      </c>
      <c r="F44" s="19"/>
      <c r="G44" s="3"/>
      <c r="J44" s="178" t="s">
        <v>502</v>
      </c>
      <c r="K44" s="179"/>
      <c r="L44" s="177">
        <v>100000000</v>
      </c>
    </row>
    <row r="45" spans="1:20" ht="15.75" thickBot="1" x14ac:dyDescent="0.3">
      <c r="B45" s="1">
        <v>5</v>
      </c>
      <c r="C45" s="21" t="s">
        <v>495</v>
      </c>
      <c r="D45" s="180"/>
      <c r="E45" s="180"/>
      <c r="F45" s="19"/>
      <c r="G45" s="3"/>
      <c r="J45" s="178" t="s">
        <v>503</v>
      </c>
      <c r="K45" s="179"/>
      <c r="L45" s="361">
        <f>P37</f>
        <v>93130295</v>
      </c>
    </row>
    <row r="46" spans="1:20" ht="15.75" thickBot="1" x14ac:dyDescent="0.3">
      <c r="B46" s="1">
        <v>6</v>
      </c>
      <c r="C46" s="21" t="s">
        <v>496</v>
      </c>
      <c r="D46" s="180"/>
      <c r="E46" s="180"/>
      <c r="F46" s="19"/>
      <c r="G46" s="3"/>
      <c r="L46" s="187">
        <f>L45/L44</f>
        <v>0.93130294999999996</v>
      </c>
    </row>
    <row r="47" spans="1:20" x14ac:dyDescent="0.25">
      <c r="B47" s="1">
        <v>7</v>
      </c>
      <c r="C47" s="21" t="s">
        <v>497</v>
      </c>
      <c r="D47" s="180"/>
      <c r="E47" s="180"/>
      <c r="F47" s="19"/>
      <c r="G47" s="3"/>
    </row>
    <row r="48" spans="1:20" x14ac:dyDescent="0.25">
      <c r="B48" s="1">
        <v>8</v>
      </c>
      <c r="C48" s="21" t="s">
        <v>498</v>
      </c>
      <c r="D48" s="180"/>
      <c r="E48" s="180"/>
      <c r="F48" s="19"/>
      <c r="G48" s="3"/>
    </row>
    <row r="49" spans="2:7" x14ac:dyDescent="0.25">
      <c r="B49" s="1">
        <v>9</v>
      </c>
      <c r="C49" s="21" t="s">
        <v>501</v>
      </c>
      <c r="D49" s="180"/>
      <c r="E49" s="180"/>
      <c r="F49" s="19"/>
      <c r="G49" s="3"/>
    </row>
    <row r="50" spans="2:7" ht="15.75" thickBot="1" x14ac:dyDescent="0.3">
      <c r="B50" s="1"/>
      <c r="C50" s="21"/>
      <c r="D50" s="180"/>
      <c r="E50" s="180"/>
      <c r="F50" s="19"/>
      <c r="G50" s="185"/>
    </row>
    <row r="51" spans="2:7" ht="15.75" thickBot="1" x14ac:dyDescent="0.3">
      <c r="G51" s="177">
        <f>SUM(G41:G50)</f>
        <v>0</v>
      </c>
    </row>
    <row r="52" spans="2:7" x14ac:dyDescent="0.25">
      <c r="G52" s="18"/>
    </row>
    <row r="53" spans="2:7" x14ac:dyDescent="0.25">
      <c r="G53" s="18"/>
    </row>
  </sheetData>
  <mergeCells count="15">
    <mergeCell ref="A4:S4"/>
    <mergeCell ref="B5:B6"/>
    <mergeCell ref="C5:C6"/>
    <mergeCell ref="D5:D6"/>
    <mergeCell ref="E5:H5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S5:S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5828E-1D9D-4881-9357-491101F744FF}">
  <dimension ref="A1:AB50"/>
  <sheetViews>
    <sheetView topLeftCell="D15" workbookViewId="0">
      <selection activeCell="L10" sqref="L10"/>
    </sheetView>
  </sheetViews>
  <sheetFormatPr defaultRowHeight="15" x14ac:dyDescent="0.25"/>
  <cols>
    <col min="1" max="1" width="1.28515625" customWidth="1"/>
    <col min="2" max="2" width="10.5703125" customWidth="1"/>
    <col min="3" max="3" width="9.28515625" bestFit="1" customWidth="1"/>
    <col min="4" max="4" width="11.5703125" bestFit="1" customWidth="1"/>
    <col min="5" max="5" width="10.7109375" bestFit="1" customWidth="1"/>
    <col min="6" max="6" width="9" bestFit="1" customWidth="1"/>
    <col min="7" max="7" width="11.5703125" bestFit="1" customWidth="1"/>
    <col min="8" max="8" width="13.85546875" bestFit="1" customWidth="1"/>
    <col min="9" max="10" width="12" customWidth="1"/>
    <col min="11" max="11" width="13.140625" customWidth="1"/>
    <col min="12" max="12" width="11.28515625" customWidth="1"/>
    <col min="13" max="13" width="10.28515625" customWidth="1"/>
    <col min="14" max="14" width="10.85546875" customWidth="1"/>
    <col min="15" max="15" width="11.7109375" customWidth="1"/>
    <col min="16" max="16" width="14" customWidth="1"/>
    <col min="17" max="17" width="11.7109375" customWidth="1"/>
    <col min="18" max="18" width="11" customWidth="1"/>
    <col min="28" max="28" width="19.7109375" customWidth="1"/>
  </cols>
  <sheetData>
    <row r="1" spans="1:28" ht="15.75" thickBot="1" x14ac:dyDescent="0.3"/>
    <row r="2" spans="1:28" ht="19.5" thickBot="1" x14ac:dyDescent="0.35">
      <c r="A2" s="350" t="s">
        <v>505</v>
      </c>
      <c r="B2" s="351"/>
      <c r="C2" s="352"/>
      <c r="D2" s="350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2"/>
    </row>
    <row r="3" spans="1:28" ht="15.75" thickBot="1" x14ac:dyDescent="0.3">
      <c r="A3" s="288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</row>
    <row r="4" spans="1:28" ht="16.5" thickBot="1" x14ac:dyDescent="0.3">
      <c r="A4" s="1202" t="s">
        <v>761</v>
      </c>
      <c r="B4" s="1203"/>
      <c r="C4" s="1203"/>
      <c r="D4" s="1203"/>
      <c r="E4" s="1203"/>
      <c r="F4" s="1203"/>
      <c r="G4" s="1203"/>
      <c r="H4" s="1203"/>
      <c r="I4" s="1203"/>
      <c r="J4" s="1203"/>
      <c r="K4" s="1203"/>
      <c r="L4" s="1203"/>
      <c r="M4" s="1203"/>
      <c r="N4" s="1203"/>
      <c r="O4" s="1203"/>
      <c r="P4" s="1203"/>
      <c r="Q4" s="1203"/>
      <c r="R4" s="1204"/>
    </row>
    <row r="5" spans="1:28" ht="15.75" thickBot="1" x14ac:dyDescent="0.3">
      <c r="B5" s="1206" t="s">
        <v>0</v>
      </c>
      <c r="C5" s="1207" t="s">
        <v>1</v>
      </c>
      <c r="D5" s="1208" t="s">
        <v>2</v>
      </c>
      <c r="E5" s="1209"/>
      <c r="F5" s="1209"/>
      <c r="G5" s="1210"/>
      <c r="H5" s="1207" t="s">
        <v>3</v>
      </c>
      <c r="I5" s="1207" t="s">
        <v>4</v>
      </c>
      <c r="J5" s="1207" t="s">
        <v>5</v>
      </c>
      <c r="K5" s="1211" t="s">
        <v>6</v>
      </c>
      <c r="L5" s="1206" t="s">
        <v>7</v>
      </c>
      <c r="M5" s="1211" t="s">
        <v>8</v>
      </c>
      <c r="N5" s="1206" t="s">
        <v>9</v>
      </c>
      <c r="O5" s="1211" t="s">
        <v>10</v>
      </c>
      <c r="P5" s="1206" t="s">
        <v>386</v>
      </c>
      <c r="Q5" s="353" t="s">
        <v>11</v>
      </c>
      <c r="R5" s="1212" t="s">
        <v>387</v>
      </c>
    </row>
    <row r="6" spans="1:28" ht="15.75" thickBot="1" x14ac:dyDescent="0.3">
      <c r="B6" s="1190"/>
      <c r="C6" s="1192"/>
      <c r="D6" s="195" t="s">
        <v>13</v>
      </c>
      <c r="E6" s="301" t="s">
        <v>14</v>
      </c>
      <c r="F6" s="195" t="s">
        <v>15</v>
      </c>
      <c r="G6" s="195" t="s">
        <v>16</v>
      </c>
      <c r="H6" s="1192"/>
      <c r="I6" s="1192"/>
      <c r="J6" s="1192"/>
      <c r="K6" s="1199"/>
      <c r="L6" s="1190"/>
      <c r="M6" s="1199"/>
      <c r="N6" s="1190"/>
      <c r="O6" s="1199"/>
      <c r="P6" s="1190"/>
      <c r="Q6" s="198">
        <v>0.3</v>
      </c>
      <c r="R6" s="1201"/>
    </row>
    <row r="7" spans="1:28" x14ac:dyDescent="0.25">
      <c r="B7" s="190">
        <v>46055</v>
      </c>
      <c r="C7" s="500">
        <v>14</v>
      </c>
      <c r="D7" s="501">
        <v>1886010</v>
      </c>
      <c r="E7" s="501">
        <v>257348</v>
      </c>
      <c r="F7" s="502">
        <v>0</v>
      </c>
      <c r="G7" s="501">
        <v>1291460</v>
      </c>
      <c r="H7" s="503">
        <f>+D7+E7+F7+G7</f>
        <v>3434818</v>
      </c>
      <c r="I7" s="586">
        <v>3352402</v>
      </c>
      <c r="J7" s="503">
        <f>+H7-I7</f>
        <v>82416</v>
      </c>
      <c r="K7" s="503">
        <f>+I7+J7</f>
        <v>3434818</v>
      </c>
      <c r="L7" s="501">
        <v>113500</v>
      </c>
      <c r="M7" s="501">
        <v>50000</v>
      </c>
      <c r="N7" s="503">
        <v>0</v>
      </c>
      <c r="O7" s="503">
        <f>+K7-L7-M7-N7</f>
        <v>3271318</v>
      </c>
      <c r="P7" s="501">
        <v>981395</v>
      </c>
      <c r="Q7" s="502">
        <f>O7*30%</f>
        <v>981395.39999999991</v>
      </c>
      <c r="R7" s="502">
        <f>Q7-P7</f>
        <v>0.39999999990686774</v>
      </c>
    </row>
    <row r="8" spans="1:28" x14ac:dyDescent="0.25">
      <c r="B8" s="190">
        <v>46056</v>
      </c>
      <c r="C8" s="504">
        <v>21</v>
      </c>
      <c r="D8" s="165">
        <v>2702447</v>
      </c>
      <c r="E8" s="165">
        <v>131300</v>
      </c>
      <c r="F8" s="165">
        <v>94930</v>
      </c>
      <c r="G8" s="165">
        <v>0</v>
      </c>
      <c r="H8" s="160">
        <f t="shared" ref="H8:H33" si="0">+D8+E8+F8+G8</f>
        <v>2928677</v>
      </c>
      <c r="I8" s="160">
        <v>2591337</v>
      </c>
      <c r="J8" s="160">
        <f t="shared" ref="J8:J10" si="1">+H8-I8</f>
        <v>337340</v>
      </c>
      <c r="K8" s="160">
        <f t="shared" ref="K8:K33" si="2">+I8+J8</f>
        <v>2928677</v>
      </c>
      <c r="L8" s="165">
        <v>170000</v>
      </c>
      <c r="M8" s="165">
        <v>0</v>
      </c>
      <c r="N8" s="160">
        <v>0</v>
      </c>
      <c r="O8" s="160">
        <f t="shared" ref="O8:O33" si="3">+K8-L8-M8-N8</f>
        <v>2758677</v>
      </c>
      <c r="P8" s="165">
        <v>808767</v>
      </c>
      <c r="Q8" s="165">
        <f t="shared" ref="Q8:Q33" si="4">O8*30%</f>
        <v>827603.1</v>
      </c>
      <c r="R8" s="165">
        <f t="shared" ref="R8:R32" si="5">Q8-P8</f>
        <v>18836.099999999977</v>
      </c>
      <c r="S8" s="5"/>
    </row>
    <row r="9" spans="1:28" x14ac:dyDescent="0.25">
      <c r="B9" s="190">
        <v>46057</v>
      </c>
      <c r="C9" s="355">
        <v>13</v>
      </c>
      <c r="D9" s="165">
        <v>1214497</v>
      </c>
      <c r="E9" s="165">
        <v>48000</v>
      </c>
      <c r="F9" s="165">
        <v>0</v>
      </c>
      <c r="G9" s="165">
        <v>0</v>
      </c>
      <c r="H9" s="160">
        <f t="shared" si="0"/>
        <v>1262497</v>
      </c>
      <c r="I9" s="160">
        <v>1177657</v>
      </c>
      <c r="J9" s="160">
        <f t="shared" si="1"/>
        <v>84840</v>
      </c>
      <c r="K9" s="160">
        <f t="shared" si="2"/>
        <v>1262497</v>
      </c>
      <c r="L9" s="165">
        <v>85000</v>
      </c>
      <c r="M9" s="165">
        <v>0</v>
      </c>
      <c r="N9" s="165">
        <v>0</v>
      </c>
      <c r="O9" s="160">
        <f t="shared" si="3"/>
        <v>1177497</v>
      </c>
      <c r="P9" s="165">
        <v>353249</v>
      </c>
      <c r="Q9" s="165">
        <f t="shared" si="4"/>
        <v>353249.1</v>
      </c>
      <c r="R9" s="165">
        <f t="shared" si="5"/>
        <v>9.9999999976716936E-2</v>
      </c>
    </row>
    <row r="10" spans="1:28" x14ac:dyDescent="0.25">
      <c r="B10" s="190">
        <v>46058</v>
      </c>
      <c r="C10" s="356">
        <v>15</v>
      </c>
      <c r="D10" s="165">
        <v>632999</v>
      </c>
      <c r="E10" s="165">
        <v>68680</v>
      </c>
      <c r="F10" s="165">
        <v>84128</v>
      </c>
      <c r="G10" s="165">
        <v>0</v>
      </c>
      <c r="H10" s="160">
        <f t="shared" si="0"/>
        <v>785807</v>
      </c>
      <c r="I10" s="160">
        <v>280067</v>
      </c>
      <c r="J10" s="160">
        <f t="shared" si="1"/>
        <v>505740</v>
      </c>
      <c r="K10" s="160">
        <f t="shared" si="2"/>
        <v>785807</v>
      </c>
      <c r="L10" s="165">
        <v>61250</v>
      </c>
      <c r="M10" s="165">
        <v>0</v>
      </c>
      <c r="N10" s="160">
        <v>0</v>
      </c>
      <c r="O10" s="160">
        <f t="shared" si="3"/>
        <v>724557</v>
      </c>
      <c r="P10" s="165">
        <v>200691</v>
      </c>
      <c r="Q10" s="165">
        <f t="shared" si="4"/>
        <v>217367.1</v>
      </c>
      <c r="R10" s="294">
        <f t="shared" si="5"/>
        <v>16676.100000000006</v>
      </c>
    </row>
    <row r="11" spans="1:28" x14ac:dyDescent="0.25">
      <c r="B11" s="190">
        <v>46059</v>
      </c>
      <c r="C11" s="356">
        <v>32</v>
      </c>
      <c r="D11" s="165">
        <v>1214676</v>
      </c>
      <c r="E11" s="165">
        <v>0</v>
      </c>
      <c r="F11" s="165">
        <v>873928</v>
      </c>
      <c r="G11" s="165">
        <v>0</v>
      </c>
      <c r="H11" s="160">
        <f t="shared" si="0"/>
        <v>2088604</v>
      </c>
      <c r="I11" s="160">
        <v>1760605</v>
      </c>
      <c r="J11" s="160">
        <f>+H11-I11</f>
        <v>327999</v>
      </c>
      <c r="K11" s="160">
        <f t="shared" si="2"/>
        <v>2088604</v>
      </c>
      <c r="L11" s="165">
        <v>72500</v>
      </c>
      <c r="M11" s="160">
        <v>0</v>
      </c>
      <c r="N11" s="160">
        <v>0</v>
      </c>
      <c r="O11" s="160">
        <f t="shared" si="3"/>
        <v>2016104</v>
      </c>
      <c r="P11" s="165">
        <v>431295</v>
      </c>
      <c r="Q11" s="165">
        <f t="shared" si="4"/>
        <v>604831.19999999995</v>
      </c>
      <c r="R11" s="294">
        <f t="shared" si="5"/>
        <v>173536.19999999995</v>
      </c>
    </row>
    <row r="12" spans="1:28" x14ac:dyDescent="0.25">
      <c r="B12" s="190">
        <v>46060</v>
      </c>
      <c r="C12" s="504">
        <v>25</v>
      </c>
      <c r="D12" s="165">
        <v>2196843</v>
      </c>
      <c r="E12" s="165">
        <v>693264</v>
      </c>
      <c r="F12" s="165"/>
      <c r="G12" s="165">
        <v>1069920</v>
      </c>
      <c r="H12" s="160">
        <f t="shared" si="0"/>
        <v>3960027</v>
      </c>
      <c r="I12" s="160">
        <v>2736732</v>
      </c>
      <c r="J12" s="160">
        <f>+H12-I12</f>
        <v>1223295</v>
      </c>
      <c r="K12" s="160">
        <f t="shared" si="2"/>
        <v>3960027</v>
      </c>
      <c r="L12" s="165">
        <v>166750</v>
      </c>
      <c r="M12" s="165">
        <v>50000</v>
      </c>
      <c r="N12" s="165">
        <v>4250</v>
      </c>
      <c r="O12" s="160">
        <f t="shared" si="3"/>
        <v>3739027</v>
      </c>
      <c r="P12" s="165">
        <v>1121708</v>
      </c>
      <c r="Q12" s="165">
        <f t="shared" si="4"/>
        <v>1121708.0999999999</v>
      </c>
      <c r="R12" s="165">
        <f t="shared" si="5"/>
        <v>9.9999999860301614E-2</v>
      </c>
    </row>
    <row r="13" spans="1:28" x14ac:dyDescent="0.25">
      <c r="B13" s="190">
        <v>46061</v>
      </c>
      <c r="C13" s="357">
        <v>3</v>
      </c>
      <c r="D13" s="76">
        <v>99990</v>
      </c>
      <c r="E13" s="538"/>
      <c r="F13" s="538"/>
      <c r="G13" s="539"/>
      <c r="H13" s="539">
        <f t="shared" si="0"/>
        <v>99990</v>
      </c>
      <c r="I13" s="159">
        <v>99990</v>
      </c>
      <c r="J13" s="539">
        <f>+H13-I13</f>
        <v>0</v>
      </c>
      <c r="K13" s="539">
        <f t="shared" si="2"/>
        <v>99990</v>
      </c>
      <c r="L13" s="538">
        <v>3000</v>
      </c>
      <c r="M13" s="539"/>
      <c r="N13" s="538"/>
      <c r="O13" s="539">
        <f t="shared" si="3"/>
        <v>96990</v>
      </c>
      <c r="P13" s="76">
        <v>29097</v>
      </c>
      <c r="Q13" s="538">
        <f t="shared" si="4"/>
        <v>29097</v>
      </c>
      <c r="R13" s="538">
        <f t="shared" si="5"/>
        <v>0</v>
      </c>
    </row>
    <row r="14" spans="1:28" x14ac:dyDescent="0.25">
      <c r="B14" s="190">
        <v>46062</v>
      </c>
      <c r="C14" s="540">
        <v>21</v>
      </c>
      <c r="D14" s="165">
        <v>1530049</v>
      </c>
      <c r="E14" s="165">
        <v>173718</v>
      </c>
      <c r="F14" s="165">
        <v>127765</v>
      </c>
      <c r="G14" s="165">
        <v>685875</v>
      </c>
      <c r="H14" s="160">
        <f t="shared" si="0"/>
        <v>2517407</v>
      </c>
      <c r="I14" s="160">
        <v>2339240</v>
      </c>
      <c r="J14" s="160">
        <f>+H14-I14</f>
        <v>178167</v>
      </c>
      <c r="K14" s="160">
        <f t="shared" si="2"/>
        <v>2517407</v>
      </c>
      <c r="L14" s="165">
        <v>92250</v>
      </c>
      <c r="M14" s="165">
        <v>50000</v>
      </c>
      <c r="N14" s="165"/>
      <c r="O14" s="160">
        <f t="shared" si="3"/>
        <v>2375157</v>
      </c>
      <c r="P14" s="165">
        <v>687244</v>
      </c>
      <c r="Q14" s="165">
        <f t="shared" si="4"/>
        <v>712547.1</v>
      </c>
      <c r="R14" s="165">
        <f t="shared" si="5"/>
        <v>25303.099999999977</v>
      </c>
      <c r="AB14">
        <f>36*37*43/5000</f>
        <v>11.4552</v>
      </c>
    </row>
    <row r="15" spans="1:28" x14ac:dyDescent="0.25">
      <c r="B15" s="190">
        <v>46063</v>
      </c>
      <c r="C15" s="358">
        <v>25</v>
      </c>
      <c r="D15" s="165">
        <v>2493165</v>
      </c>
      <c r="E15" s="165"/>
      <c r="F15" s="165">
        <v>181896</v>
      </c>
      <c r="G15" s="165"/>
      <c r="H15" s="160">
        <f t="shared" si="0"/>
        <v>2675061</v>
      </c>
      <c r="I15" s="160">
        <v>2280352</v>
      </c>
      <c r="J15" s="160">
        <f>+H15-I15</f>
        <v>394709</v>
      </c>
      <c r="K15" s="160">
        <f t="shared" si="2"/>
        <v>2675061</v>
      </c>
      <c r="L15" s="165">
        <v>140000</v>
      </c>
      <c r="M15" s="165"/>
      <c r="N15" s="160"/>
      <c r="O15" s="160">
        <f t="shared" si="3"/>
        <v>2535061</v>
      </c>
      <c r="P15" s="165">
        <v>724439</v>
      </c>
      <c r="Q15" s="165">
        <f t="shared" si="4"/>
        <v>760518.29999999993</v>
      </c>
      <c r="R15" s="165">
        <f t="shared" si="5"/>
        <v>36079.29999999993</v>
      </c>
    </row>
    <row r="16" spans="1:28" x14ac:dyDescent="0.25">
      <c r="B16" s="190">
        <v>46064</v>
      </c>
      <c r="C16" s="355">
        <v>20</v>
      </c>
      <c r="D16" s="165">
        <v>1114821</v>
      </c>
      <c r="E16" s="160"/>
      <c r="F16" s="160"/>
      <c r="G16" s="165">
        <v>1202875</v>
      </c>
      <c r="H16" s="160">
        <f t="shared" si="0"/>
        <v>2317696</v>
      </c>
      <c r="I16" s="160">
        <v>2015100</v>
      </c>
      <c r="J16" s="160">
        <f t="shared" ref="J16:J33" si="6">+H16-I16</f>
        <v>302596</v>
      </c>
      <c r="K16" s="160">
        <f t="shared" si="2"/>
        <v>2317696</v>
      </c>
      <c r="L16" s="165">
        <v>122250</v>
      </c>
      <c r="M16" s="165">
        <v>50000</v>
      </c>
      <c r="N16" s="160"/>
      <c r="O16" s="160">
        <f t="shared" si="3"/>
        <v>2145446</v>
      </c>
      <c r="P16" s="165">
        <v>643633</v>
      </c>
      <c r="Q16" s="165">
        <f t="shared" si="4"/>
        <v>643633.79999999993</v>
      </c>
      <c r="R16" s="165">
        <f t="shared" si="5"/>
        <v>0.79999999993015081</v>
      </c>
    </row>
    <row r="17" spans="2:19" x14ac:dyDescent="0.25">
      <c r="B17" s="190">
        <v>46065</v>
      </c>
      <c r="C17" s="540">
        <v>12</v>
      </c>
      <c r="D17" s="76">
        <v>901930</v>
      </c>
      <c r="E17" s="538"/>
      <c r="F17" s="538"/>
      <c r="G17" s="538"/>
      <c r="H17" s="539">
        <f t="shared" si="0"/>
        <v>901930</v>
      </c>
      <c r="I17" s="159">
        <v>209474</v>
      </c>
      <c r="J17" s="539">
        <f t="shared" si="6"/>
        <v>692456</v>
      </c>
      <c r="K17" s="539">
        <f t="shared" si="2"/>
        <v>901930</v>
      </c>
      <c r="L17" s="76">
        <v>58000</v>
      </c>
      <c r="M17" s="539"/>
      <c r="N17" s="538"/>
      <c r="O17" s="539">
        <f t="shared" si="3"/>
        <v>843930</v>
      </c>
      <c r="P17" s="76">
        <v>253179</v>
      </c>
      <c r="Q17" s="538">
        <f t="shared" si="4"/>
        <v>253179</v>
      </c>
      <c r="R17" s="538">
        <f t="shared" si="5"/>
        <v>0</v>
      </c>
    </row>
    <row r="18" spans="2:19" x14ac:dyDescent="0.25">
      <c r="B18" s="190">
        <v>46066</v>
      </c>
      <c r="C18" s="127">
        <v>21</v>
      </c>
      <c r="D18" s="204">
        <v>1364727</v>
      </c>
      <c r="E18" s="204">
        <v>353500</v>
      </c>
      <c r="F18" s="204">
        <v>91905</v>
      </c>
      <c r="G18" s="204">
        <v>446660</v>
      </c>
      <c r="H18" s="239">
        <f t="shared" si="0"/>
        <v>2256792</v>
      </c>
      <c r="I18" s="239">
        <v>2057623</v>
      </c>
      <c r="J18" s="239">
        <f t="shared" si="6"/>
        <v>199169</v>
      </c>
      <c r="K18" s="239">
        <f t="shared" si="2"/>
        <v>2256792</v>
      </c>
      <c r="L18" s="204">
        <v>78500</v>
      </c>
      <c r="M18" s="204">
        <v>50000</v>
      </c>
      <c r="N18" s="204">
        <v>50000</v>
      </c>
      <c r="O18" s="239">
        <f t="shared" si="3"/>
        <v>2078292</v>
      </c>
      <c r="P18" s="140">
        <v>605256</v>
      </c>
      <c r="Q18" s="204">
        <f t="shared" si="4"/>
        <v>623487.6</v>
      </c>
      <c r="R18" s="204">
        <f t="shared" si="5"/>
        <v>18231.599999999977</v>
      </c>
    </row>
    <row r="19" spans="2:19" x14ac:dyDescent="0.25">
      <c r="B19" s="190">
        <v>46067</v>
      </c>
      <c r="C19" s="160">
        <v>10</v>
      </c>
      <c r="D19" s="165">
        <v>319663</v>
      </c>
      <c r="E19" s="165">
        <v>578932</v>
      </c>
      <c r="F19" s="165"/>
      <c r="G19" s="165"/>
      <c r="H19" s="160">
        <f t="shared" si="0"/>
        <v>898595</v>
      </c>
      <c r="I19" s="165">
        <v>882435</v>
      </c>
      <c r="J19" s="160">
        <f t="shared" si="6"/>
        <v>16160</v>
      </c>
      <c r="K19" s="160">
        <f t="shared" si="2"/>
        <v>898595</v>
      </c>
      <c r="L19" s="165">
        <v>29750</v>
      </c>
      <c r="M19" s="165"/>
      <c r="N19" s="160"/>
      <c r="O19" s="160">
        <f t="shared" si="3"/>
        <v>868845</v>
      </c>
      <c r="P19" s="165">
        <v>260653</v>
      </c>
      <c r="Q19" s="165">
        <f t="shared" si="4"/>
        <v>260653.5</v>
      </c>
      <c r="R19" s="165">
        <f t="shared" si="5"/>
        <v>0.5</v>
      </c>
    </row>
    <row r="20" spans="2:19" x14ac:dyDescent="0.25">
      <c r="B20" s="190">
        <v>46068</v>
      </c>
      <c r="C20" s="160">
        <v>4</v>
      </c>
      <c r="D20" s="165">
        <v>463698</v>
      </c>
      <c r="E20" s="165">
        <v>64638</v>
      </c>
      <c r="F20" s="165"/>
      <c r="G20" s="165"/>
      <c r="H20" s="160">
        <f t="shared" si="0"/>
        <v>528336</v>
      </c>
      <c r="I20" s="165">
        <v>191400</v>
      </c>
      <c r="J20" s="160">
        <f t="shared" si="6"/>
        <v>336936</v>
      </c>
      <c r="K20" s="160">
        <f t="shared" si="2"/>
        <v>528336</v>
      </c>
      <c r="L20" s="165">
        <v>39500</v>
      </c>
      <c r="M20" s="165"/>
      <c r="N20" s="165"/>
      <c r="O20" s="160">
        <f t="shared" si="3"/>
        <v>488836</v>
      </c>
      <c r="P20" s="165">
        <v>146650</v>
      </c>
      <c r="Q20" s="165">
        <f t="shared" si="4"/>
        <v>146650.79999999999</v>
      </c>
      <c r="R20" s="165">
        <f t="shared" si="5"/>
        <v>0.79999999998835847</v>
      </c>
    </row>
    <row r="21" spans="2:19" x14ac:dyDescent="0.25">
      <c r="B21" s="190">
        <v>46069</v>
      </c>
      <c r="C21" s="160">
        <v>8</v>
      </c>
      <c r="D21" s="277">
        <v>905364</v>
      </c>
      <c r="E21" s="277">
        <v>121200</v>
      </c>
      <c r="F21" s="204"/>
      <c r="G21" s="239"/>
      <c r="H21" s="204">
        <f t="shared" si="0"/>
        <v>1026564</v>
      </c>
      <c r="I21" s="277">
        <v>997476</v>
      </c>
      <c r="J21" s="239">
        <f t="shared" si="6"/>
        <v>29088</v>
      </c>
      <c r="K21" s="239">
        <f t="shared" si="2"/>
        <v>1026564</v>
      </c>
      <c r="L21" s="277">
        <v>54000</v>
      </c>
      <c r="M21" s="239"/>
      <c r="N21" s="239"/>
      <c r="O21" s="239">
        <f t="shared" si="3"/>
        <v>972564</v>
      </c>
      <c r="P21" s="277">
        <v>291769</v>
      </c>
      <c r="Q21" s="204">
        <f t="shared" si="4"/>
        <v>291769.2</v>
      </c>
      <c r="R21" s="204">
        <f t="shared" si="5"/>
        <v>0.20000000001164153</v>
      </c>
    </row>
    <row r="22" spans="2:19" x14ac:dyDescent="0.25">
      <c r="B22" s="190">
        <v>46070</v>
      </c>
      <c r="C22" s="160">
        <v>2</v>
      </c>
      <c r="D22" s="165">
        <v>424200</v>
      </c>
      <c r="E22" s="165">
        <v>1112616</v>
      </c>
      <c r="F22" s="165"/>
      <c r="G22" s="165"/>
      <c r="H22" s="160">
        <f t="shared" si="0"/>
        <v>1536816</v>
      </c>
      <c r="I22" s="165">
        <v>1112616</v>
      </c>
      <c r="J22" s="160">
        <f t="shared" si="6"/>
        <v>424200</v>
      </c>
      <c r="K22" s="160">
        <f t="shared" si="2"/>
        <v>1536816</v>
      </c>
      <c r="L22" s="165">
        <v>61750</v>
      </c>
      <c r="M22" s="160"/>
      <c r="N22" s="160"/>
      <c r="O22" s="160">
        <f t="shared" si="3"/>
        <v>1475066</v>
      </c>
      <c r="P22" s="165">
        <v>442519</v>
      </c>
      <c r="Q22" s="165">
        <f t="shared" si="4"/>
        <v>442519.8</v>
      </c>
      <c r="R22" s="165">
        <f t="shared" si="5"/>
        <v>0.79999999998835847</v>
      </c>
    </row>
    <row r="23" spans="2:19" x14ac:dyDescent="0.25">
      <c r="B23" s="190">
        <v>46071</v>
      </c>
      <c r="C23" s="160">
        <v>10</v>
      </c>
      <c r="D23" s="277">
        <v>615520</v>
      </c>
      <c r="E23" s="239"/>
      <c r="F23" s="239"/>
      <c r="G23" s="239"/>
      <c r="H23" s="239">
        <f t="shared" si="0"/>
        <v>615520</v>
      </c>
      <c r="I23" s="277">
        <v>379760</v>
      </c>
      <c r="J23" s="239">
        <f t="shared" si="6"/>
        <v>235760</v>
      </c>
      <c r="K23" s="239">
        <f t="shared" si="2"/>
        <v>615520</v>
      </c>
      <c r="L23" s="277">
        <v>36250</v>
      </c>
      <c r="M23" s="239"/>
      <c r="N23" s="239"/>
      <c r="O23" s="239">
        <f t="shared" si="3"/>
        <v>579270</v>
      </c>
      <c r="P23" s="277">
        <v>173781</v>
      </c>
      <c r="Q23" s="204">
        <f t="shared" si="4"/>
        <v>173781</v>
      </c>
      <c r="R23" s="204">
        <f t="shared" si="5"/>
        <v>0</v>
      </c>
    </row>
    <row r="24" spans="2:19" x14ac:dyDescent="0.25">
      <c r="B24" s="190">
        <v>46072</v>
      </c>
      <c r="C24" s="165">
        <v>17</v>
      </c>
      <c r="D24" s="165">
        <v>1108475</v>
      </c>
      <c r="E24" s="165"/>
      <c r="F24" s="165">
        <v>296485</v>
      </c>
      <c r="G24" s="165">
        <v>1780110</v>
      </c>
      <c r="H24" s="160">
        <f t="shared" si="0"/>
        <v>3185070</v>
      </c>
      <c r="I24" s="165">
        <v>2729156</v>
      </c>
      <c r="J24" s="160">
        <f t="shared" si="6"/>
        <v>455914</v>
      </c>
      <c r="K24" s="160">
        <f t="shared" si="2"/>
        <v>3185070</v>
      </c>
      <c r="L24" s="165">
        <v>100500</v>
      </c>
      <c r="M24" s="160">
        <v>50000</v>
      </c>
      <c r="N24" s="165">
        <v>4600</v>
      </c>
      <c r="O24" s="160">
        <f t="shared" si="3"/>
        <v>3029970</v>
      </c>
      <c r="P24" s="165">
        <v>851064</v>
      </c>
      <c r="Q24" s="165">
        <f t="shared" si="4"/>
        <v>908991</v>
      </c>
      <c r="R24" s="165">
        <f t="shared" si="5"/>
        <v>57927</v>
      </c>
    </row>
    <row r="25" spans="2:19" x14ac:dyDescent="0.25">
      <c r="B25" s="190">
        <v>46073</v>
      </c>
      <c r="C25" s="165">
        <v>13</v>
      </c>
      <c r="D25" s="165">
        <v>1578225</v>
      </c>
      <c r="E25" s="165"/>
      <c r="F25" s="165">
        <v>58575</v>
      </c>
      <c r="G25" s="160"/>
      <c r="H25" s="160">
        <f t="shared" si="0"/>
        <v>1636800</v>
      </c>
      <c r="I25" s="165">
        <v>224214</v>
      </c>
      <c r="J25" s="160">
        <f t="shared" si="6"/>
        <v>1412586</v>
      </c>
      <c r="K25" s="160">
        <f t="shared" si="2"/>
        <v>1636800</v>
      </c>
      <c r="L25" s="165">
        <v>162500</v>
      </c>
      <c r="M25" s="160"/>
      <c r="N25" s="160"/>
      <c r="O25" s="160">
        <f t="shared" si="3"/>
        <v>1474300</v>
      </c>
      <c r="P25" s="165">
        <v>430675</v>
      </c>
      <c r="Q25" s="165">
        <f>O25*30%</f>
        <v>442290</v>
      </c>
      <c r="R25" s="165">
        <f t="shared" si="5"/>
        <v>11615</v>
      </c>
    </row>
    <row r="26" spans="2:19" x14ac:dyDescent="0.25">
      <c r="B26" s="190">
        <v>46074</v>
      </c>
      <c r="C26" s="160">
        <v>12</v>
      </c>
      <c r="D26" s="165">
        <v>1915598</v>
      </c>
      <c r="E26" s="165">
        <v>197960</v>
      </c>
      <c r="F26" s="165">
        <v>27553</v>
      </c>
      <c r="G26" s="165">
        <v>1658390</v>
      </c>
      <c r="H26" s="160">
        <f t="shared" si="0"/>
        <v>3799501</v>
      </c>
      <c r="I26" s="165">
        <v>3679919</v>
      </c>
      <c r="J26" s="160">
        <f t="shared" si="6"/>
        <v>119582</v>
      </c>
      <c r="K26" s="160">
        <f t="shared" si="2"/>
        <v>3799501</v>
      </c>
      <c r="L26" s="165">
        <v>238750</v>
      </c>
      <c r="M26" s="165">
        <v>100000</v>
      </c>
      <c r="N26" s="165">
        <v>2000</v>
      </c>
      <c r="O26" s="160">
        <f t="shared" si="3"/>
        <v>3458751</v>
      </c>
      <c r="P26" s="165">
        <v>1032564</v>
      </c>
      <c r="Q26" s="165">
        <f t="shared" si="4"/>
        <v>1037625.2999999999</v>
      </c>
      <c r="R26" s="165">
        <f t="shared" si="5"/>
        <v>5061.2999999999302</v>
      </c>
      <c r="S26" s="141"/>
    </row>
    <row r="27" spans="2:19" x14ac:dyDescent="0.25">
      <c r="B27" s="190">
        <v>46075</v>
      </c>
      <c r="C27" s="165">
        <v>2</v>
      </c>
      <c r="D27" s="165">
        <v>132310</v>
      </c>
      <c r="E27" s="165"/>
      <c r="F27" s="165"/>
      <c r="G27" s="165"/>
      <c r="H27" s="160">
        <f t="shared" si="0"/>
        <v>132310</v>
      </c>
      <c r="I27" s="165">
        <v>132310</v>
      </c>
      <c r="J27" s="160">
        <f t="shared" si="6"/>
        <v>0</v>
      </c>
      <c r="K27" s="160">
        <f t="shared" si="2"/>
        <v>132310</v>
      </c>
      <c r="L27" s="165">
        <v>4500</v>
      </c>
      <c r="M27" s="165"/>
      <c r="N27" s="165"/>
      <c r="O27" s="160">
        <f t="shared" si="3"/>
        <v>127810</v>
      </c>
      <c r="P27" s="165">
        <v>38343</v>
      </c>
      <c r="Q27" s="160">
        <f t="shared" si="4"/>
        <v>38343</v>
      </c>
      <c r="R27" s="165">
        <f t="shared" si="5"/>
        <v>0</v>
      </c>
    </row>
    <row r="28" spans="2:19" x14ac:dyDescent="0.25">
      <c r="B28" s="190">
        <v>46076</v>
      </c>
      <c r="C28" s="160">
        <v>24</v>
      </c>
      <c r="D28" s="165">
        <v>2197060</v>
      </c>
      <c r="E28" s="165">
        <v>96960</v>
      </c>
      <c r="F28" s="165">
        <v>91905</v>
      </c>
      <c r="G28" s="165">
        <v>1170560</v>
      </c>
      <c r="H28" s="160">
        <f>+D28+E28+F28+G28</f>
        <v>3556485</v>
      </c>
      <c r="I28" s="165">
        <v>2223285</v>
      </c>
      <c r="J28" s="160">
        <f t="shared" si="6"/>
        <v>1333200</v>
      </c>
      <c r="K28" s="160">
        <f t="shared" si="2"/>
        <v>3556485</v>
      </c>
      <c r="L28" s="165">
        <v>162500</v>
      </c>
      <c r="M28" s="160">
        <v>50000</v>
      </c>
      <c r="N28" s="160"/>
      <c r="O28" s="160">
        <f t="shared" si="3"/>
        <v>3343985</v>
      </c>
      <c r="P28" s="165">
        <v>984964</v>
      </c>
      <c r="Q28" s="160">
        <f t="shared" si="4"/>
        <v>1003195.5</v>
      </c>
      <c r="R28" s="160">
        <f t="shared" si="5"/>
        <v>18231.5</v>
      </c>
    </row>
    <row r="29" spans="2:19" x14ac:dyDescent="0.25">
      <c r="B29" s="190">
        <v>46077</v>
      </c>
      <c r="C29" s="431">
        <v>13</v>
      </c>
      <c r="D29" s="204">
        <v>414909</v>
      </c>
      <c r="E29" s="204">
        <v>181798</v>
      </c>
      <c r="F29" s="239"/>
      <c r="G29" s="204">
        <v>328600</v>
      </c>
      <c r="H29" s="239">
        <f t="shared" si="0"/>
        <v>925307</v>
      </c>
      <c r="I29" s="204">
        <v>604126</v>
      </c>
      <c r="J29" s="239">
        <f t="shared" si="6"/>
        <v>321181</v>
      </c>
      <c r="K29" s="239">
        <f t="shared" si="2"/>
        <v>925307</v>
      </c>
      <c r="L29" s="204">
        <v>49250</v>
      </c>
      <c r="M29" s="239"/>
      <c r="N29" s="239"/>
      <c r="O29" s="239">
        <f t="shared" si="3"/>
        <v>876057</v>
      </c>
      <c r="P29" s="204">
        <v>262817</v>
      </c>
      <c r="Q29" s="239">
        <f t="shared" si="4"/>
        <v>262817.09999999998</v>
      </c>
      <c r="R29" s="239">
        <f t="shared" si="5"/>
        <v>9.9999999976716936E-2</v>
      </c>
    </row>
    <row r="30" spans="2:19" x14ac:dyDescent="0.25">
      <c r="B30" s="190">
        <v>46078</v>
      </c>
      <c r="C30" s="160">
        <v>20</v>
      </c>
      <c r="D30" s="616">
        <v>1527629</v>
      </c>
      <c r="E30" s="616">
        <v>44440</v>
      </c>
      <c r="F30" s="616">
        <v>44908</v>
      </c>
      <c r="G30" s="239"/>
      <c r="H30" s="239">
        <f t="shared" si="0"/>
        <v>1616977</v>
      </c>
      <c r="I30" s="239">
        <v>1307513</v>
      </c>
      <c r="J30" s="239">
        <f t="shared" si="6"/>
        <v>309464</v>
      </c>
      <c r="K30" s="239">
        <f t="shared" si="2"/>
        <v>1616977</v>
      </c>
      <c r="L30" s="160">
        <v>84250</v>
      </c>
      <c r="M30" s="160"/>
      <c r="N30" s="160">
        <v>13800</v>
      </c>
      <c r="O30" s="160">
        <f t="shared" si="3"/>
        <v>1518927</v>
      </c>
      <c r="P30" s="160">
        <v>449506</v>
      </c>
      <c r="Q30" s="160">
        <f t="shared" si="4"/>
        <v>455678.1</v>
      </c>
      <c r="R30" s="160">
        <f t="shared" si="5"/>
        <v>6172.0999999999767</v>
      </c>
    </row>
    <row r="31" spans="2:19" x14ac:dyDescent="0.25">
      <c r="B31" s="190">
        <v>46079</v>
      </c>
      <c r="C31" s="618">
        <v>15</v>
      </c>
      <c r="D31" s="616">
        <v>1137947</v>
      </c>
      <c r="E31" s="616">
        <v>70700</v>
      </c>
      <c r="F31" s="616">
        <v>53328</v>
      </c>
      <c r="G31" s="239"/>
      <c r="H31" s="239">
        <f t="shared" si="0"/>
        <v>1261975</v>
      </c>
      <c r="I31" s="239">
        <v>1202385</v>
      </c>
      <c r="J31" s="239">
        <f t="shared" si="6"/>
        <v>59590</v>
      </c>
      <c r="K31" s="239">
        <f t="shared" si="2"/>
        <v>1261975</v>
      </c>
      <c r="L31" s="239">
        <v>64250</v>
      </c>
      <c r="M31" s="619"/>
      <c r="N31" s="204">
        <v>93600</v>
      </c>
      <c r="O31" s="620">
        <f t="shared" si="3"/>
        <v>1104125</v>
      </c>
      <c r="P31" s="617">
        <v>320671</v>
      </c>
      <c r="Q31" s="619">
        <f t="shared" si="4"/>
        <v>331237.5</v>
      </c>
      <c r="R31" s="619">
        <f t="shared" si="5"/>
        <v>10566.5</v>
      </c>
    </row>
    <row r="32" spans="2:19" x14ac:dyDescent="0.25">
      <c r="B32" s="190">
        <v>46080</v>
      </c>
      <c r="C32" s="160">
        <v>13</v>
      </c>
      <c r="D32" s="615">
        <v>2137893</v>
      </c>
      <c r="E32" s="615"/>
      <c r="F32" s="615">
        <v>56353</v>
      </c>
      <c r="G32" s="615"/>
      <c r="H32" s="160">
        <f t="shared" si="0"/>
        <v>2194246</v>
      </c>
      <c r="I32" s="160">
        <v>2118698</v>
      </c>
      <c r="J32" s="160">
        <f t="shared" si="6"/>
        <v>75548</v>
      </c>
      <c r="K32" s="160">
        <f t="shared" si="2"/>
        <v>2194246</v>
      </c>
      <c r="L32" s="160">
        <v>62750</v>
      </c>
      <c r="M32" s="160"/>
      <c r="N32" s="160">
        <v>50960</v>
      </c>
      <c r="O32" s="160">
        <f t="shared" si="3"/>
        <v>2080536</v>
      </c>
      <c r="P32" s="160">
        <v>612990</v>
      </c>
      <c r="Q32" s="160">
        <f t="shared" si="4"/>
        <v>624160.79999999993</v>
      </c>
      <c r="R32" s="160">
        <f t="shared" si="5"/>
        <v>11170.79999999993</v>
      </c>
    </row>
    <row r="33" spans="2:18" ht="15.75" thickBot="1" x14ac:dyDescent="0.3">
      <c r="B33" s="190">
        <v>46081</v>
      </c>
      <c r="C33" s="239">
        <v>4</v>
      </c>
      <c r="D33" s="160">
        <v>177154</v>
      </c>
      <c r="E33" s="160"/>
      <c r="F33" s="160"/>
      <c r="G33" s="160"/>
      <c r="H33" s="160">
        <f t="shared" si="0"/>
        <v>177154</v>
      </c>
      <c r="I33" s="160">
        <v>38380</v>
      </c>
      <c r="J33" s="160">
        <f t="shared" si="6"/>
        <v>138774</v>
      </c>
      <c r="K33" s="239">
        <f t="shared" si="2"/>
        <v>177154</v>
      </c>
      <c r="L33" s="239">
        <v>11500</v>
      </c>
      <c r="M33" s="239"/>
      <c r="N33" s="239"/>
      <c r="O33" s="239">
        <f t="shared" si="3"/>
        <v>165654</v>
      </c>
      <c r="P33" s="239">
        <v>49696</v>
      </c>
      <c r="Q33" s="239">
        <f t="shared" si="4"/>
        <v>49696.2</v>
      </c>
      <c r="R33" s="619">
        <f>Q33-P33</f>
        <v>0.19999999999708962</v>
      </c>
    </row>
    <row r="34" spans="2:18" ht="15.75" thickBot="1" x14ac:dyDescent="0.3">
      <c r="C34" s="12">
        <f>SUM(C7:C33)</f>
        <v>389</v>
      </c>
      <c r="K34" s="12">
        <f t="shared" ref="K34:R34" si="7">SUM(K7:K33)</f>
        <v>48320962</v>
      </c>
      <c r="L34" s="12">
        <f t="shared" si="7"/>
        <v>2325000</v>
      </c>
      <c r="M34" s="12">
        <f t="shared" si="7"/>
        <v>450000</v>
      </c>
      <c r="N34" s="12">
        <f t="shared" si="7"/>
        <v>219210</v>
      </c>
      <c r="O34" s="12">
        <f t="shared" si="7"/>
        <v>45326752</v>
      </c>
      <c r="P34" s="621">
        <f t="shared" si="7"/>
        <v>13188615</v>
      </c>
      <c r="Q34" s="12">
        <f t="shared" si="7"/>
        <v>13598025.599999998</v>
      </c>
      <c r="R34" s="12">
        <f t="shared" si="7"/>
        <v>409410.59999999928</v>
      </c>
    </row>
    <row r="36" spans="2:18" ht="15.75" thickBot="1" x14ac:dyDescent="0.3"/>
    <row r="37" spans="2:18" ht="15.75" thickBot="1" x14ac:dyDescent="0.3">
      <c r="B37" s="103" t="s">
        <v>490</v>
      </c>
      <c r="C37" s="201"/>
      <c r="D37" s="201"/>
      <c r="E37" s="202"/>
      <c r="F37" s="203" t="s">
        <v>229</v>
      </c>
      <c r="I37" s="178" t="s">
        <v>499</v>
      </c>
      <c r="J37" s="179"/>
      <c r="K37" s="186">
        <f>P34</f>
        <v>13188615</v>
      </c>
    </row>
    <row r="38" spans="2:18" ht="15.75" thickBot="1" x14ac:dyDescent="0.3">
      <c r="B38" s="182" t="s">
        <v>491</v>
      </c>
      <c r="C38" s="183"/>
      <c r="D38" s="183"/>
      <c r="E38" s="181"/>
      <c r="F38" s="90"/>
      <c r="I38" s="178" t="s">
        <v>500</v>
      </c>
      <c r="J38" s="179"/>
      <c r="K38" s="186">
        <f>F48</f>
        <v>0</v>
      </c>
    </row>
    <row r="39" spans="2:18" ht="15.75" thickBot="1" x14ac:dyDescent="0.3">
      <c r="B39" s="21" t="s">
        <v>492</v>
      </c>
      <c r="C39" s="180"/>
      <c r="D39" s="180"/>
      <c r="E39" s="19"/>
      <c r="F39" s="3"/>
      <c r="K39" s="12">
        <f>K37-K38</f>
        <v>13188615</v>
      </c>
    </row>
    <row r="40" spans="2:18" ht="15.75" thickBot="1" x14ac:dyDescent="0.3">
      <c r="B40" s="21" t="s">
        <v>493</v>
      </c>
      <c r="C40" s="180"/>
      <c r="D40" s="180"/>
      <c r="E40" s="19"/>
      <c r="F40" s="3"/>
    </row>
    <row r="41" spans="2:18" ht="15.75" thickBot="1" x14ac:dyDescent="0.3">
      <c r="B41" t="s">
        <v>494</v>
      </c>
      <c r="E41" s="19"/>
      <c r="F41" s="3"/>
      <c r="I41" s="178" t="s">
        <v>502</v>
      </c>
      <c r="J41" s="179"/>
      <c r="K41" s="177">
        <v>100000000</v>
      </c>
    </row>
    <row r="42" spans="2:18" ht="15.75" thickBot="1" x14ac:dyDescent="0.3">
      <c r="B42" s="21" t="s">
        <v>495</v>
      </c>
      <c r="C42" s="180"/>
      <c r="D42" s="180"/>
      <c r="E42" s="19"/>
      <c r="F42" s="3"/>
      <c r="I42" s="178" t="s">
        <v>503</v>
      </c>
      <c r="J42" s="179"/>
      <c r="K42" s="361">
        <f>O34</f>
        <v>45326752</v>
      </c>
    </row>
    <row r="43" spans="2:18" ht="15.75" thickBot="1" x14ac:dyDescent="0.3">
      <c r="B43" s="21" t="s">
        <v>496</v>
      </c>
      <c r="C43" s="180"/>
      <c r="D43" s="180"/>
      <c r="E43" s="19"/>
      <c r="F43" s="3"/>
      <c r="K43" s="187">
        <f>K42/K41</f>
        <v>0.45326751999999998</v>
      </c>
    </row>
    <row r="44" spans="2:18" x14ac:dyDescent="0.25">
      <c r="B44" s="21" t="s">
        <v>497</v>
      </c>
      <c r="C44" s="180"/>
      <c r="D44" s="180"/>
      <c r="E44" s="19"/>
      <c r="F44" s="3"/>
    </row>
    <row r="45" spans="2:18" x14ac:dyDescent="0.25">
      <c r="B45" s="21" t="s">
        <v>498</v>
      </c>
      <c r="C45" s="180"/>
      <c r="D45" s="180"/>
      <c r="E45" s="19"/>
      <c r="F45" s="3"/>
    </row>
    <row r="46" spans="2:18" x14ac:dyDescent="0.25">
      <c r="B46" s="21" t="s">
        <v>501</v>
      </c>
      <c r="C46" s="180"/>
      <c r="D46" s="180"/>
      <c r="E46" s="19"/>
      <c r="F46" s="3"/>
    </row>
    <row r="47" spans="2:18" ht="15.75" thickBot="1" x14ac:dyDescent="0.3">
      <c r="B47" s="21"/>
      <c r="C47" s="180"/>
      <c r="D47" s="180"/>
      <c r="E47" s="19"/>
      <c r="F47" s="185"/>
    </row>
    <row r="48" spans="2:18" ht="15.75" thickBot="1" x14ac:dyDescent="0.3">
      <c r="F48" s="177">
        <f>SUM(F38:F47)</f>
        <v>0</v>
      </c>
    </row>
    <row r="49" spans="6:6" x14ac:dyDescent="0.25">
      <c r="F49" s="18"/>
    </row>
    <row r="50" spans="6:6" x14ac:dyDescent="0.25">
      <c r="F50" s="18"/>
    </row>
  </sheetData>
  <mergeCells count="14">
    <mergeCell ref="A4:R4"/>
    <mergeCell ref="B5:B6"/>
    <mergeCell ref="C5:C6"/>
    <mergeCell ref="D5:G5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R5:R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CE841-668F-42BD-AEAE-8863D1288FF1}">
  <dimension ref="A1:R54"/>
  <sheetViews>
    <sheetView topLeftCell="A50" workbookViewId="0">
      <selection activeCell="I39" sqref="I39"/>
    </sheetView>
  </sheetViews>
  <sheetFormatPr defaultRowHeight="15" x14ac:dyDescent="0.25"/>
  <cols>
    <col min="1" max="1" width="2.28515625" customWidth="1"/>
    <col min="2" max="2" width="11" customWidth="1"/>
    <col min="3" max="3" width="9.5703125" bestFit="1" customWidth="1"/>
    <col min="4" max="4" width="11.85546875" bestFit="1" customWidth="1"/>
    <col min="5" max="5" width="11.28515625" bestFit="1" customWidth="1"/>
    <col min="6" max="6" width="9.7109375" bestFit="1" customWidth="1"/>
    <col min="7" max="7" width="10.7109375" bestFit="1" customWidth="1"/>
    <col min="8" max="8" width="14.28515625" bestFit="1" customWidth="1"/>
    <col min="9" max="9" width="21.42578125" bestFit="1" customWidth="1"/>
    <col min="10" max="10" width="12.85546875" customWidth="1"/>
    <col min="11" max="11" width="14.85546875" customWidth="1"/>
    <col min="12" max="12" width="11.85546875" customWidth="1"/>
    <col min="13" max="13" width="9.28515625" bestFit="1" customWidth="1"/>
    <col min="14" max="14" width="9.42578125" bestFit="1" customWidth="1"/>
    <col min="15" max="15" width="12.5703125" customWidth="1"/>
    <col min="16" max="16" width="14.42578125" bestFit="1" customWidth="1"/>
    <col min="17" max="17" width="11.85546875" bestFit="1" customWidth="1"/>
    <col min="18" max="18" width="11.28515625" bestFit="1" customWidth="1"/>
  </cols>
  <sheetData>
    <row r="1" spans="1:18" ht="15.75" thickBot="1" x14ac:dyDescent="0.3"/>
    <row r="2" spans="1:18" ht="19.5" thickBot="1" x14ac:dyDescent="0.35">
      <c r="A2" s="350" t="s">
        <v>505</v>
      </c>
      <c r="B2" s="351"/>
      <c r="C2" s="352"/>
      <c r="D2" s="350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2"/>
    </row>
    <row r="3" spans="1:18" ht="15.75" thickBot="1" x14ac:dyDescent="0.3">
      <c r="A3" s="288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</row>
    <row r="4" spans="1:18" ht="16.5" thickBot="1" x14ac:dyDescent="0.3">
      <c r="A4" s="1202" t="s">
        <v>997</v>
      </c>
      <c r="B4" s="1203"/>
      <c r="C4" s="1203"/>
      <c r="D4" s="1203"/>
      <c r="E4" s="1203"/>
      <c r="F4" s="1203"/>
      <c r="G4" s="1203"/>
      <c r="H4" s="1203"/>
      <c r="I4" s="1203"/>
      <c r="J4" s="1203"/>
      <c r="K4" s="1203"/>
      <c r="L4" s="1203"/>
      <c r="M4" s="1203"/>
      <c r="N4" s="1203"/>
      <c r="O4" s="1203"/>
      <c r="P4" s="1203"/>
      <c r="Q4" s="1203"/>
      <c r="R4" s="1204"/>
    </row>
    <row r="5" spans="1:18" ht="15.75" thickBot="1" x14ac:dyDescent="0.3">
      <c r="B5" s="1206" t="s">
        <v>0</v>
      </c>
      <c r="C5" s="1207" t="s">
        <v>1</v>
      </c>
      <c r="D5" s="1208" t="s">
        <v>2</v>
      </c>
      <c r="E5" s="1209"/>
      <c r="F5" s="1209"/>
      <c r="G5" s="1210"/>
      <c r="H5" s="1207" t="s">
        <v>3</v>
      </c>
      <c r="I5" s="1207" t="s">
        <v>4</v>
      </c>
      <c r="J5" s="1207" t="s">
        <v>5</v>
      </c>
      <c r="K5" s="1211" t="s">
        <v>6</v>
      </c>
      <c r="L5" s="1206" t="s">
        <v>7</v>
      </c>
      <c r="M5" s="1211" t="s">
        <v>8</v>
      </c>
      <c r="N5" s="1206" t="s">
        <v>9</v>
      </c>
      <c r="O5" s="1211" t="s">
        <v>10</v>
      </c>
      <c r="P5" s="1206" t="s">
        <v>386</v>
      </c>
      <c r="Q5" s="353" t="s">
        <v>11</v>
      </c>
      <c r="R5" s="1212" t="s">
        <v>387</v>
      </c>
    </row>
    <row r="6" spans="1:18" ht="15.75" thickBot="1" x14ac:dyDescent="0.3">
      <c r="B6" s="1190"/>
      <c r="C6" s="1215"/>
      <c r="D6" s="676" t="s">
        <v>13</v>
      </c>
      <c r="E6" s="677" t="s">
        <v>14</v>
      </c>
      <c r="F6" s="676" t="s">
        <v>15</v>
      </c>
      <c r="G6" s="676" t="s">
        <v>16</v>
      </c>
      <c r="H6" s="1215"/>
      <c r="I6" s="1215"/>
      <c r="J6" s="1215"/>
      <c r="K6" s="1214"/>
      <c r="L6" s="1213"/>
      <c r="M6" s="1214"/>
      <c r="N6" s="1213"/>
      <c r="O6" s="1214"/>
      <c r="P6" s="1213"/>
      <c r="Q6" s="680">
        <v>0.3</v>
      </c>
      <c r="R6" s="1212"/>
    </row>
    <row r="7" spans="1:18" x14ac:dyDescent="0.25">
      <c r="B7" s="190">
        <v>46082</v>
      </c>
      <c r="C7" s="504">
        <v>2</v>
      </c>
      <c r="D7" s="615">
        <v>128775</v>
      </c>
      <c r="E7" s="615"/>
      <c r="F7" s="615">
        <v>504728</v>
      </c>
      <c r="G7" s="160"/>
      <c r="H7" s="160">
        <f>+D7+E7+F7+G7</f>
        <v>633503</v>
      </c>
      <c r="I7" s="160">
        <v>633503</v>
      </c>
      <c r="J7" s="160">
        <f>+H7-I7</f>
        <v>0</v>
      </c>
      <c r="K7" s="160">
        <f>+I7+J7</f>
        <v>633503</v>
      </c>
      <c r="L7" s="160">
        <v>8250</v>
      </c>
      <c r="M7" s="160"/>
      <c r="N7" s="160">
        <v>7000</v>
      </c>
      <c r="O7" s="160">
        <f>+K7-L7-M7-N7</f>
        <v>618253</v>
      </c>
      <c r="P7" s="160">
        <v>84562</v>
      </c>
      <c r="Q7" s="160">
        <f>O7*30%</f>
        <v>185475.9</v>
      </c>
      <c r="R7" s="160">
        <f>Q7-P7</f>
        <v>100913.9</v>
      </c>
    </row>
    <row r="8" spans="1:18" x14ac:dyDescent="0.25">
      <c r="B8" s="190">
        <v>46083</v>
      </c>
      <c r="C8" s="678">
        <v>18</v>
      </c>
      <c r="D8" s="615">
        <v>723261</v>
      </c>
      <c r="E8" s="615">
        <v>15887280</v>
      </c>
      <c r="F8" s="615">
        <v>91905</v>
      </c>
      <c r="G8" s="160">
        <v>3978010</v>
      </c>
      <c r="H8" s="160">
        <f t="shared" ref="H8:H37" si="0">+D8+E8+F8+G8</f>
        <v>20680456</v>
      </c>
      <c r="I8" s="160">
        <v>20425330</v>
      </c>
      <c r="J8" s="160">
        <f t="shared" ref="J8:J10" si="1">+H8-I8</f>
        <v>255126</v>
      </c>
      <c r="K8" s="160">
        <f t="shared" ref="K8:K37" si="2">+I8+J8</f>
        <v>20680456</v>
      </c>
      <c r="L8" s="160">
        <v>343250</v>
      </c>
      <c r="M8" s="160">
        <v>50000</v>
      </c>
      <c r="N8" s="160"/>
      <c r="O8" s="160">
        <f t="shared" ref="O8:O37" si="3">+K8-L8-M8-N8</f>
        <v>20287206</v>
      </c>
      <c r="P8" s="160">
        <v>5916232</v>
      </c>
      <c r="Q8" s="165">
        <f t="shared" ref="Q8:Q37" si="4">O8*30%</f>
        <v>6086161.7999999998</v>
      </c>
      <c r="R8" s="165">
        <f t="shared" ref="R8:R37" si="5">Q8-P8</f>
        <v>169929.79999999981</v>
      </c>
    </row>
    <row r="9" spans="1:18" x14ac:dyDescent="0.25">
      <c r="B9" s="190">
        <v>46084</v>
      </c>
      <c r="C9" s="504">
        <v>14</v>
      </c>
      <c r="D9" s="239">
        <v>1312494</v>
      </c>
      <c r="E9" s="239"/>
      <c r="F9" s="239"/>
      <c r="G9" s="239"/>
      <c r="H9" s="239">
        <f t="shared" si="0"/>
        <v>1312494</v>
      </c>
      <c r="I9" s="239">
        <v>679930</v>
      </c>
      <c r="J9" s="239">
        <f t="shared" si="1"/>
        <v>632564</v>
      </c>
      <c r="K9" s="239">
        <f t="shared" si="2"/>
        <v>1312494</v>
      </c>
      <c r="L9" s="239">
        <v>98750</v>
      </c>
      <c r="M9" s="239"/>
      <c r="N9" s="239"/>
      <c r="O9" s="239">
        <f t="shared" si="3"/>
        <v>1213744</v>
      </c>
      <c r="P9" s="239">
        <v>355020</v>
      </c>
      <c r="Q9" s="239">
        <f t="shared" si="4"/>
        <v>364123.2</v>
      </c>
      <c r="R9" s="239">
        <f t="shared" si="5"/>
        <v>9103.2000000000116</v>
      </c>
    </row>
    <row r="10" spans="1:18" x14ac:dyDescent="0.25">
      <c r="B10" s="190">
        <v>46085</v>
      </c>
      <c r="C10" s="679">
        <v>17</v>
      </c>
      <c r="D10" s="616">
        <v>1775545</v>
      </c>
      <c r="E10" s="616">
        <v>52524</v>
      </c>
      <c r="F10" s="616">
        <v>61105</v>
      </c>
      <c r="G10" s="239">
        <v>1004910</v>
      </c>
      <c r="H10" s="239">
        <f t="shared" si="0"/>
        <v>2894084</v>
      </c>
      <c r="I10" s="239">
        <v>2826007</v>
      </c>
      <c r="J10" s="239">
        <f t="shared" si="1"/>
        <v>68077</v>
      </c>
      <c r="K10" s="239">
        <f t="shared" si="2"/>
        <v>2894084</v>
      </c>
      <c r="L10" s="239">
        <v>84250</v>
      </c>
      <c r="M10" s="239">
        <v>50000</v>
      </c>
      <c r="N10" s="239"/>
      <c r="O10" s="239">
        <f t="shared" si="3"/>
        <v>2759834</v>
      </c>
      <c r="P10" s="239">
        <v>795433</v>
      </c>
      <c r="Q10" s="239">
        <f t="shared" si="4"/>
        <v>827950.2</v>
      </c>
      <c r="R10" s="239">
        <f t="shared" si="5"/>
        <v>32517.199999999953</v>
      </c>
    </row>
    <row r="11" spans="1:18" x14ac:dyDescent="0.25">
      <c r="B11" s="190">
        <v>46086</v>
      </c>
      <c r="C11" s="504">
        <v>14</v>
      </c>
      <c r="D11" s="615">
        <v>2984903</v>
      </c>
      <c r="E11" s="615">
        <v>40397</v>
      </c>
      <c r="F11" s="160"/>
      <c r="G11" s="160"/>
      <c r="H11" s="160">
        <f t="shared" si="0"/>
        <v>3025300</v>
      </c>
      <c r="I11" s="160">
        <v>2650294</v>
      </c>
      <c r="J11" s="160">
        <f>+H11-I11</f>
        <v>375006</v>
      </c>
      <c r="K11" s="160">
        <f t="shared" si="2"/>
        <v>3025300</v>
      </c>
      <c r="L11" s="160">
        <v>138000</v>
      </c>
      <c r="M11" s="160"/>
      <c r="N11" s="160"/>
      <c r="O11" s="160">
        <f t="shared" si="3"/>
        <v>2887300</v>
      </c>
      <c r="P11" s="160">
        <v>844535</v>
      </c>
      <c r="Q11" s="160">
        <f t="shared" si="4"/>
        <v>866190</v>
      </c>
      <c r="R11" s="160">
        <f t="shared" si="5"/>
        <v>21655</v>
      </c>
    </row>
    <row r="12" spans="1:18" x14ac:dyDescent="0.25">
      <c r="B12" s="190">
        <v>46087</v>
      </c>
      <c r="C12" s="504">
        <v>20</v>
      </c>
      <c r="D12" s="160">
        <v>2945226</v>
      </c>
      <c r="E12" s="160"/>
      <c r="F12" s="160">
        <v>58575</v>
      </c>
      <c r="G12" s="160"/>
      <c r="H12" s="160">
        <f t="shared" si="0"/>
        <v>3003801</v>
      </c>
      <c r="I12" s="160">
        <v>2847051</v>
      </c>
      <c r="J12" s="160">
        <f>+H12-I12</f>
        <v>156750</v>
      </c>
      <c r="K12" s="160">
        <f t="shared" si="2"/>
        <v>3003801</v>
      </c>
      <c r="L12" s="160">
        <v>181250</v>
      </c>
      <c r="M12" s="160"/>
      <c r="N12" s="160"/>
      <c r="O12" s="160">
        <f t="shared" si="3"/>
        <v>2822551</v>
      </c>
      <c r="P12" s="160">
        <v>814271</v>
      </c>
      <c r="Q12" s="160">
        <f t="shared" si="4"/>
        <v>846765.29999999993</v>
      </c>
      <c r="R12" s="160">
        <f t="shared" si="5"/>
        <v>32494.29999999993</v>
      </c>
    </row>
    <row r="13" spans="1:18" x14ac:dyDescent="0.25">
      <c r="B13" s="190">
        <v>46088</v>
      </c>
      <c r="C13" s="504">
        <v>8</v>
      </c>
      <c r="D13" s="204">
        <v>437129</v>
      </c>
      <c r="E13" s="204"/>
      <c r="F13" s="165"/>
      <c r="G13" s="160"/>
      <c r="H13" s="160">
        <f t="shared" si="0"/>
        <v>437129</v>
      </c>
      <c r="I13" s="165">
        <v>345421</v>
      </c>
      <c r="J13" s="160">
        <f>+H13-I13</f>
        <v>91708</v>
      </c>
      <c r="K13" s="160">
        <f t="shared" si="2"/>
        <v>437129</v>
      </c>
      <c r="L13" s="165">
        <v>23750</v>
      </c>
      <c r="M13" s="160"/>
      <c r="N13" s="165"/>
      <c r="O13" s="160">
        <f t="shared" si="3"/>
        <v>413379</v>
      </c>
      <c r="P13" s="165">
        <v>120913</v>
      </c>
      <c r="Q13" s="165">
        <f t="shared" si="4"/>
        <v>124013.7</v>
      </c>
      <c r="R13" s="165">
        <f t="shared" si="5"/>
        <v>3100.6999999999971</v>
      </c>
    </row>
    <row r="14" spans="1:18" x14ac:dyDescent="0.25">
      <c r="B14" s="190">
        <v>46089</v>
      </c>
      <c r="C14" s="681">
        <v>2</v>
      </c>
      <c r="D14" s="616">
        <v>56556</v>
      </c>
      <c r="E14" s="616">
        <v>179376</v>
      </c>
      <c r="F14" s="239"/>
      <c r="G14" s="239"/>
      <c r="H14" s="239">
        <f t="shared" si="0"/>
        <v>235932</v>
      </c>
      <c r="I14" s="239">
        <v>235932</v>
      </c>
      <c r="J14" s="239">
        <f>+H14-I14</f>
        <v>0</v>
      </c>
      <c r="K14" s="239">
        <f t="shared" si="2"/>
        <v>235932</v>
      </c>
      <c r="L14" s="239">
        <v>5250</v>
      </c>
      <c r="M14" s="239"/>
      <c r="N14" s="239"/>
      <c r="O14" s="239">
        <f t="shared" si="3"/>
        <v>230682</v>
      </c>
      <c r="P14" s="239">
        <v>67474</v>
      </c>
      <c r="Q14" s="204">
        <f t="shared" si="4"/>
        <v>69204.599999999991</v>
      </c>
      <c r="R14" s="204">
        <f t="shared" si="5"/>
        <v>1730.5999999999913</v>
      </c>
    </row>
    <row r="15" spans="1:18" x14ac:dyDescent="0.25">
      <c r="B15" s="190">
        <v>46090</v>
      </c>
      <c r="C15" s="504">
        <v>25</v>
      </c>
      <c r="D15" s="615">
        <v>1431712</v>
      </c>
      <c r="E15" s="615">
        <v>92920</v>
      </c>
      <c r="F15" s="615">
        <v>33330</v>
      </c>
      <c r="G15" s="160">
        <v>533340</v>
      </c>
      <c r="H15" s="160">
        <f t="shared" si="0"/>
        <v>2091302</v>
      </c>
      <c r="I15" s="160">
        <v>1220748</v>
      </c>
      <c r="J15" s="160">
        <f>+H15-I15</f>
        <v>870554</v>
      </c>
      <c r="K15" s="160">
        <f t="shared" si="2"/>
        <v>2091302</v>
      </c>
      <c r="L15" s="160">
        <v>132750</v>
      </c>
      <c r="M15" s="160">
        <v>50000</v>
      </c>
      <c r="N15" s="160"/>
      <c r="O15" s="160">
        <f t="shared" si="3"/>
        <v>1908552</v>
      </c>
      <c r="P15" s="160">
        <v>551800</v>
      </c>
      <c r="Q15" s="160">
        <f t="shared" si="4"/>
        <v>572565.6</v>
      </c>
      <c r="R15" s="160">
        <f t="shared" si="5"/>
        <v>20765.599999999977</v>
      </c>
    </row>
    <row r="16" spans="1:18" x14ac:dyDescent="0.25">
      <c r="B16" s="190">
        <v>46091</v>
      </c>
      <c r="C16" s="682">
        <v>35</v>
      </c>
      <c r="D16" s="617">
        <v>7068565</v>
      </c>
      <c r="E16" s="620"/>
      <c r="F16" s="617">
        <v>290813</v>
      </c>
      <c r="G16" s="620"/>
      <c r="H16" s="620">
        <f t="shared" si="0"/>
        <v>7359378</v>
      </c>
      <c r="I16" s="617">
        <v>6905806</v>
      </c>
      <c r="J16" s="620">
        <f t="shared" ref="J16:J37" si="6">+H16-I16</f>
        <v>453572</v>
      </c>
      <c r="K16" s="620">
        <f t="shared" si="2"/>
        <v>7359378</v>
      </c>
      <c r="L16" s="617">
        <v>224000</v>
      </c>
      <c r="M16" s="620"/>
      <c r="N16" s="617">
        <v>104170</v>
      </c>
      <c r="O16" s="620">
        <f t="shared" si="3"/>
        <v>7031208</v>
      </c>
      <c r="P16" s="617">
        <v>2003049</v>
      </c>
      <c r="Q16" s="620">
        <f t="shared" si="4"/>
        <v>2109362.4</v>
      </c>
      <c r="R16" s="620">
        <f t="shared" si="5"/>
        <v>106313.39999999991</v>
      </c>
    </row>
    <row r="17" spans="2:18" x14ac:dyDescent="0.25">
      <c r="B17" s="190">
        <v>46092</v>
      </c>
      <c r="C17" s="504">
        <v>25</v>
      </c>
      <c r="D17" s="615">
        <v>1822149</v>
      </c>
      <c r="E17" s="615">
        <v>143420</v>
      </c>
      <c r="F17" s="615">
        <v>444092</v>
      </c>
      <c r="G17" s="160"/>
      <c r="H17" s="160">
        <f t="shared" si="0"/>
        <v>2409661</v>
      </c>
      <c r="I17" s="160">
        <v>2173726</v>
      </c>
      <c r="J17" s="160">
        <f t="shared" si="6"/>
        <v>235935</v>
      </c>
      <c r="K17" s="160">
        <f t="shared" si="2"/>
        <v>2409661</v>
      </c>
      <c r="L17" s="160">
        <v>93250</v>
      </c>
      <c r="M17" s="160"/>
      <c r="N17" s="160">
        <v>29952</v>
      </c>
      <c r="O17" s="160">
        <f t="shared" si="3"/>
        <v>2286459</v>
      </c>
      <c r="P17" s="160">
        <v>582532</v>
      </c>
      <c r="Q17" s="160">
        <f t="shared" si="4"/>
        <v>685937.7</v>
      </c>
      <c r="R17" s="160">
        <f t="shared" si="5"/>
        <v>103405.69999999995</v>
      </c>
    </row>
    <row r="18" spans="2:18" x14ac:dyDescent="0.25">
      <c r="B18" s="190">
        <v>46093</v>
      </c>
      <c r="C18" s="193">
        <v>28</v>
      </c>
      <c r="D18" s="160">
        <v>2240623</v>
      </c>
      <c r="E18" s="160"/>
      <c r="F18" s="160">
        <v>64130</v>
      </c>
      <c r="G18" s="160"/>
      <c r="H18" s="160">
        <f t="shared" si="0"/>
        <v>2304753</v>
      </c>
      <c r="I18" s="160">
        <v>1775754</v>
      </c>
      <c r="J18" s="160">
        <f t="shared" si="6"/>
        <v>528999</v>
      </c>
      <c r="K18" s="160">
        <f t="shared" si="2"/>
        <v>2304753</v>
      </c>
      <c r="L18" s="160">
        <v>126000</v>
      </c>
      <c r="M18" s="160"/>
      <c r="N18" s="160">
        <v>14000</v>
      </c>
      <c r="O18" s="160">
        <f t="shared" si="3"/>
        <v>2164753</v>
      </c>
      <c r="P18" s="160">
        <v>620782</v>
      </c>
      <c r="Q18" s="160">
        <f t="shared" si="4"/>
        <v>649425.9</v>
      </c>
      <c r="R18" s="160">
        <f t="shared" si="5"/>
        <v>28643.900000000023</v>
      </c>
    </row>
    <row r="19" spans="2:18" x14ac:dyDescent="0.25">
      <c r="B19" s="190">
        <v>46094</v>
      </c>
      <c r="C19" s="160">
        <v>15</v>
      </c>
      <c r="D19" s="165">
        <v>671048</v>
      </c>
      <c r="E19" s="165">
        <v>153320</v>
      </c>
      <c r="F19" s="165">
        <v>184800</v>
      </c>
      <c r="G19" s="165"/>
      <c r="H19" s="160">
        <f t="shared" si="0"/>
        <v>1009168</v>
      </c>
      <c r="I19" s="165">
        <v>727780</v>
      </c>
      <c r="J19" s="160">
        <f t="shared" si="6"/>
        <v>281388</v>
      </c>
      <c r="K19" s="160">
        <f t="shared" si="2"/>
        <v>1009168</v>
      </c>
      <c r="L19" s="165">
        <v>45000</v>
      </c>
      <c r="M19" s="165"/>
      <c r="N19" s="160">
        <v>20000</v>
      </c>
      <c r="O19" s="160">
        <f t="shared" si="3"/>
        <v>944168</v>
      </c>
      <c r="P19" s="165">
        <v>240425</v>
      </c>
      <c r="Q19" s="165">
        <f t="shared" si="4"/>
        <v>283250.39999999997</v>
      </c>
      <c r="R19" s="165">
        <f t="shared" si="5"/>
        <v>42825.399999999965</v>
      </c>
    </row>
    <row r="20" spans="2:18" x14ac:dyDescent="0.25">
      <c r="B20" s="190">
        <v>46095</v>
      </c>
      <c r="C20" s="160">
        <v>16</v>
      </c>
      <c r="D20" s="165">
        <v>2635694</v>
      </c>
      <c r="E20" s="165">
        <v>1512576</v>
      </c>
      <c r="F20" s="165">
        <v>306636</v>
      </c>
      <c r="G20" s="165">
        <v>1069920</v>
      </c>
      <c r="H20" s="160">
        <f t="shared" si="0"/>
        <v>5524826</v>
      </c>
      <c r="I20" s="165">
        <v>4407768</v>
      </c>
      <c r="J20" s="160">
        <f t="shared" si="6"/>
        <v>1117058</v>
      </c>
      <c r="K20" s="160">
        <f t="shared" si="2"/>
        <v>5524826</v>
      </c>
      <c r="L20" s="165">
        <v>158500</v>
      </c>
      <c r="M20" s="165">
        <v>50000</v>
      </c>
      <c r="N20" s="165"/>
      <c r="O20" s="160">
        <f t="shared" si="3"/>
        <v>5316326</v>
      </c>
      <c r="P20" s="165">
        <v>1495816</v>
      </c>
      <c r="Q20" s="165">
        <f t="shared" si="4"/>
        <v>1594897.8</v>
      </c>
      <c r="R20" s="165">
        <f t="shared" si="5"/>
        <v>99081.800000000047</v>
      </c>
    </row>
    <row r="21" spans="2:18" x14ac:dyDescent="0.25">
      <c r="B21" s="190">
        <v>46096</v>
      </c>
      <c r="C21" s="274">
        <v>6</v>
      </c>
      <c r="D21" s="165">
        <v>2220181</v>
      </c>
      <c r="E21" s="165"/>
      <c r="F21" s="165"/>
      <c r="G21" s="160"/>
      <c r="H21" s="165">
        <f t="shared" si="0"/>
        <v>2220181</v>
      </c>
      <c r="I21" s="165">
        <v>2189881</v>
      </c>
      <c r="J21" s="160">
        <f t="shared" si="6"/>
        <v>30300</v>
      </c>
      <c r="K21" s="160">
        <f t="shared" si="2"/>
        <v>2220181</v>
      </c>
      <c r="L21" s="165">
        <v>64750</v>
      </c>
      <c r="M21" s="160"/>
      <c r="N21" s="160"/>
      <c r="O21" s="160">
        <f t="shared" si="3"/>
        <v>2155431</v>
      </c>
      <c r="P21" s="165">
        <v>630463</v>
      </c>
      <c r="Q21" s="165">
        <f t="shared" si="4"/>
        <v>646629.29999999993</v>
      </c>
      <c r="R21" s="165">
        <f t="shared" si="5"/>
        <v>16166.29999999993</v>
      </c>
    </row>
    <row r="22" spans="2:18" x14ac:dyDescent="0.25">
      <c r="B22" s="190">
        <v>46097</v>
      </c>
      <c r="C22" s="160">
        <v>15</v>
      </c>
      <c r="D22" s="165">
        <v>2231750</v>
      </c>
      <c r="E22" s="165">
        <v>5689128</v>
      </c>
      <c r="F22" s="165"/>
      <c r="G22" s="165"/>
      <c r="H22" s="160">
        <f t="shared" si="0"/>
        <v>7920878</v>
      </c>
      <c r="I22" s="165">
        <v>7416908</v>
      </c>
      <c r="J22" s="160">
        <f t="shared" si="6"/>
        <v>503970</v>
      </c>
      <c r="K22" s="160">
        <f t="shared" si="2"/>
        <v>7920878</v>
      </c>
      <c r="L22" s="165">
        <v>173750</v>
      </c>
      <c r="M22" s="160"/>
      <c r="N22" s="160"/>
      <c r="O22" s="160">
        <f t="shared" si="3"/>
        <v>7747128</v>
      </c>
      <c r="P22" s="165">
        <v>2266034</v>
      </c>
      <c r="Q22" s="165">
        <f t="shared" si="4"/>
        <v>2324138.4</v>
      </c>
      <c r="R22" s="165">
        <f t="shared" si="5"/>
        <v>58104.399999999907</v>
      </c>
    </row>
    <row r="23" spans="2:18" x14ac:dyDescent="0.25">
      <c r="B23" s="190">
        <v>46098</v>
      </c>
      <c r="C23" s="160">
        <v>10</v>
      </c>
      <c r="D23" s="165">
        <v>1191295</v>
      </c>
      <c r="E23" s="165">
        <v>2585328</v>
      </c>
      <c r="F23" s="160"/>
      <c r="G23" s="165">
        <v>1429430</v>
      </c>
      <c r="H23" s="160">
        <f t="shared" si="0"/>
        <v>5206053</v>
      </c>
      <c r="I23" s="165">
        <v>5206053</v>
      </c>
      <c r="J23" s="160">
        <f t="shared" si="6"/>
        <v>0</v>
      </c>
      <c r="K23" s="160">
        <f t="shared" si="2"/>
        <v>5206053</v>
      </c>
      <c r="L23" s="165">
        <v>124000</v>
      </c>
      <c r="M23" s="160">
        <v>50000</v>
      </c>
      <c r="N23" s="160"/>
      <c r="O23" s="160">
        <f t="shared" si="3"/>
        <v>5032053</v>
      </c>
      <c r="P23" s="165">
        <v>1471875</v>
      </c>
      <c r="Q23" s="165">
        <f t="shared" si="4"/>
        <v>1509615.9</v>
      </c>
      <c r="R23" s="165">
        <f t="shared" si="5"/>
        <v>37740.899999999907</v>
      </c>
    </row>
    <row r="24" spans="2:18" x14ac:dyDescent="0.25">
      <c r="B24" s="735">
        <v>46099</v>
      </c>
      <c r="C24" s="165">
        <v>13</v>
      </c>
      <c r="D24" s="165">
        <v>741343</v>
      </c>
      <c r="E24" s="165">
        <v>446016</v>
      </c>
      <c r="F24" s="165"/>
      <c r="G24" s="165"/>
      <c r="H24" s="160">
        <f t="shared" si="0"/>
        <v>1187359</v>
      </c>
      <c r="I24" s="165">
        <v>1087671</v>
      </c>
      <c r="J24" s="160">
        <f t="shared" si="6"/>
        <v>99688</v>
      </c>
      <c r="K24" s="160">
        <f t="shared" si="2"/>
        <v>1187359</v>
      </c>
      <c r="L24" s="165">
        <v>51000</v>
      </c>
      <c r="M24" s="160"/>
      <c r="N24" s="165"/>
      <c r="O24" s="160">
        <f t="shared" si="3"/>
        <v>1136359</v>
      </c>
      <c r="P24" s="165">
        <v>332385</v>
      </c>
      <c r="Q24" s="165">
        <f t="shared" si="4"/>
        <v>340907.7</v>
      </c>
      <c r="R24" s="165">
        <f t="shared" si="5"/>
        <v>8522.7000000000116</v>
      </c>
    </row>
    <row r="25" spans="2:18" x14ac:dyDescent="0.25">
      <c r="B25" s="735">
        <v>46100</v>
      </c>
      <c r="C25" s="165">
        <v>4</v>
      </c>
      <c r="D25" s="165">
        <v>99687</v>
      </c>
      <c r="E25" s="165"/>
      <c r="F25" s="165"/>
      <c r="G25" s="165">
        <v>1069920</v>
      </c>
      <c r="H25" s="160">
        <f t="shared" si="0"/>
        <v>1169607</v>
      </c>
      <c r="I25" s="165">
        <v>1125975</v>
      </c>
      <c r="J25" s="160">
        <f t="shared" si="6"/>
        <v>43632</v>
      </c>
      <c r="K25" s="160">
        <f t="shared" si="2"/>
        <v>1169607</v>
      </c>
      <c r="L25" s="165">
        <v>32500</v>
      </c>
      <c r="M25" s="165">
        <v>50000</v>
      </c>
      <c r="N25" s="160"/>
      <c r="O25" s="160">
        <f t="shared" si="3"/>
        <v>1087107</v>
      </c>
      <c r="P25" s="165">
        <v>317978</v>
      </c>
      <c r="Q25" s="165">
        <f>O25*30%</f>
        <v>326132.09999999998</v>
      </c>
      <c r="R25" s="165">
        <f t="shared" si="5"/>
        <v>8154.0999999999767</v>
      </c>
    </row>
    <row r="26" spans="2:18" x14ac:dyDescent="0.25">
      <c r="B26" s="736">
        <v>46101</v>
      </c>
      <c r="C26" s="534"/>
      <c r="D26" s="534"/>
      <c r="E26" s="534"/>
      <c r="F26" s="534"/>
      <c r="G26" s="534"/>
      <c r="H26" s="534">
        <f t="shared" si="0"/>
        <v>0</v>
      </c>
      <c r="I26" s="534"/>
      <c r="J26" s="534">
        <f t="shared" si="6"/>
        <v>0</v>
      </c>
      <c r="K26" s="534">
        <f t="shared" si="2"/>
        <v>0</v>
      </c>
      <c r="L26" s="534"/>
      <c r="M26" s="534"/>
      <c r="N26" s="534"/>
      <c r="O26" s="534">
        <f t="shared" si="3"/>
        <v>0</v>
      </c>
      <c r="P26" s="534"/>
      <c r="Q26" s="534">
        <f t="shared" si="4"/>
        <v>0</v>
      </c>
      <c r="R26" s="534">
        <f t="shared" si="5"/>
        <v>0</v>
      </c>
    </row>
    <row r="27" spans="2:18" x14ac:dyDescent="0.25">
      <c r="B27" s="736">
        <v>46102</v>
      </c>
      <c r="C27" s="534"/>
      <c r="D27" s="534"/>
      <c r="E27" s="534"/>
      <c r="F27" s="534"/>
      <c r="G27" s="534"/>
      <c r="H27" s="534">
        <f t="shared" si="0"/>
        <v>0</v>
      </c>
      <c r="I27" s="534"/>
      <c r="J27" s="534">
        <f t="shared" si="6"/>
        <v>0</v>
      </c>
      <c r="K27" s="534">
        <f t="shared" si="2"/>
        <v>0</v>
      </c>
      <c r="L27" s="534"/>
      <c r="M27" s="534"/>
      <c r="N27" s="534"/>
      <c r="O27" s="534">
        <f t="shared" si="3"/>
        <v>0</v>
      </c>
      <c r="P27" s="534"/>
      <c r="Q27" s="534">
        <f t="shared" si="4"/>
        <v>0</v>
      </c>
      <c r="R27" s="534">
        <f t="shared" si="5"/>
        <v>0</v>
      </c>
    </row>
    <row r="28" spans="2:18" x14ac:dyDescent="0.25">
      <c r="B28" s="736">
        <v>46103</v>
      </c>
      <c r="C28" s="534"/>
      <c r="D28" s="534"/>
      <c r="E28" s="534"/>
      <c r="F28" s="534"/>
      <c r="G28" s="534"/>
      <c r="H28" s="534">
        <f>+D28+E28+F28+G28</f>
        <v>0</v>
      </c>
      <c r="I28" s="534"/>
      <c r="J28" s="534">
        <f t="shared" si="6"/>
        <v>0</v>
      </c>
      <c r="K28" s="534">
        <f t="shared" si="2"/>
        <v>0</v>
      </c>
      <c r="L28" s="534"/>
      <c r="M28" s="534"/>
      <c r="N28" s="534"/>
      <c r="O28" s="534">
        <f t="shared" si="3"/>
        <v>0</v>
      </c>
      <c r="P28" s="534"/>
      <c r="Q28" s="534">
        <f t="shared" si="4"/>
        <v>0</v>
      </c>
      <c r="R28" s="534">
        <f t="shared" si="5"/>
        <v>0</v>
      </c>
    </row>
    <row r="29" spans="2:18" x14ac:dyDescent="0.25">
      <c r="B29" s="736">
        <v>46104</v>
      </c>
      <c r="C29" s="532"/>
      <c r="D29" s="533"/>
      <c r="E29" s="533"/>
      <c r="F29" s="533"/>
      <c r="G29" s="533"/>
      <c r="H29" s="533">
        <f t="shared" si="0"/>
        <v>0</v>
      </c>
      <c r="I29" s="533"/>
      <c r="J29" s="533">
        <f t="shared" si="6"/>
        <v>0</v>
      </c>
      <c r="K29" s="533">
        <f t="shared" si="2"/>
        <v>0</v>
      </c>
      <c r="L29" s="533"/>
      <c r="M29" s="533"/>
      <c r="N29" s="533"/>
      <c r="O29" s="533">
        <f t="shared" si="3"/>
        <v>0</v>
      </c>
      <c r="P29" s="533"/>
      <c r="Q29" s="533">
        <f t="shared" si="4"/>
        <v>0</v>
      </c>
      <c r="R29" s="533">
        <f t="shared" si="5"/>
        <v>0</v>
      </c>
    </row>
    <row r="30" spans="2:18" x14ac:dyDescent="0.25">
      <c r="B30" s="190">
        <v>46105</v>
      </c>
      <c r="C30" s="239">
        <v>7</v>
      </c>
      <c r="D30" s="204">
        <v>428292</v>
      </c>
      <c r="E30" s="616"/>
      <c r="F30" s="616"/>
      <c r="G30" s="204">
        <v>1202875</v>
      </c>
      <c r="H30" s="239">
        <f t="shared" si="0"/>
        <v>1631167</v>
      </c>
      <c r="I30" s="204">
        <v>1613007</v>
      </c>
      <c r="J30" s="239">
        <f t="shared" si="6"/>
        <v>18160</v>
      </c>
      <c r="K30" s="239">
        <f t="shared" si="2"/>
        <v>1631167</v>
      </c>
      <c r="L30" s="204">
        <v>62500</v>
      </c>
      <c r="M30" s="239">
        <v>50000</v>
      </c>
      <c r="N30" s="204">
        <v>4700</v>
      </c>
      <c r="O30" s="239">
        <f t="shared" si="3"/>
        <v>1513967</v>
      </c>
      <c r="P30" s="204">
        <v>442835</v>
      </c>
      <c r="Q30" s="239">
        <f t="shared" si="4"/>
        <v>454190.1</v>
      </c>
      <c r="R30" s="239">
        <f t="shared" si="5"/>
        <v>11355.099999999977</v>
      </c>
    </row>
    <row r="31" spans="2:18" x14ac:dyDescent="0.25">
      <c r="B31" s="190">
        <v>46106</v>
      </c>
      <c r="C31" s="160">
        <v>14</v>
      </c>
      <c r="D31" s="615">
        <v>250480</v>
      </c>
      <c r="E31" s="615">
        <v>3800028</v>
      </c>
      <c r="F31" s="615">
        <v>106013</v>
      </c>
      <c r="G31" s="160"/>
      <c r="H31" s="160">
        <f t="shared" si="0"/>
        <v>4156521</v>
      </c>
      <c r="I31" s="160">
        <v>4126221</v>
      </c>
      <c r="J31" s="160">
        <f t="shared" si="6"/>
        <v>30300</v>
      </c>
      <c r="K31" s="160">
        <f t="shared" si="2"/>
        <v>4156521</v>
      </c>
      <c r="L31" s="160">
        <v>77750</v>
      </c>
      <c r="M31" s="160"/>
      <c r="N31" s="160">
        <v>13800</v>
      </c>
      <c r="O31" s="160">
        <f t="shared" si="3"/>
        <v>4064971</v>
      </c>
      <c r="P31" s="615">
        <v>1171168</v>
      </c>
      <c r="Q31" s="239">
        <f t="shared" si="4"/>
        <v>1219491.3</v>
      </c>
      <c r="R31" s="160">
        <f t="shared" si="5"/>
        <v>48323.300000000047</v>
      </c>
    </row>
    <row r="32" spans="2:18" x14ac:dyDescent="0.25">
      <c r="B32" s="190">
        <v>46107</v>
      </c>
      <c r="C32" s="160">
        <v>16</v>
      </c>
      <c r="D32" s="165">
        <v>927993</v>
      </c>
      <c r="E32" s="615"/>
      <c r="F32" s="165">
        <v>33330</v>
      </c>
      <c r="G32" s="165">
        <v>1084900</v>
      </c>
      <c r="H32" s="160">
        <f t="shared" si="0"/>
        <v>2046223</v>
      </c>
      <c r="I32" s="165">
        <v>1502029</v>
      </c>
      <c r="J32" s="160">
        <f t="shared" si="6"/>
        <v>544194</v>
      </c>
      <c r="K32" s="160">
        <f t="shared" si="2"/>
        <v>2046223</v>
      </c>
      <c r="L32" s="165">
        <v>88000</v>
      </c>
      <c r="M32" s="160"/>
      <c r="N32" s="160"/>
      <c r="O32" s="160">
        <f t="shared" si="3"/>
        <v>1958223</v>
      </c>
      <c r="P32" s="165">
        <v>566329</v>
      </c>
      <c r="Q32" s="160">
        <f t="shared" si="4"/>
        <v>587466.9</v>
      </c>
      <c r="R32" s="160">
        <f t="shared" si="5"/>
        <v>21137.900000000023</v>
      </c>
    </row>
    <row r="33" spans="2:18" x14ac:dyDescent="0.25">
      <c r="B33" s="190">
        <v>46108</v>
      </c>
      <c r="C33" s="160">
        <v>19</v>
      </c>
      <c r="D33" s="165">
        <v>3349385</v>
      </c>
      <c r="E33" s="165">
        <v>1960550</v>
      </c>
      <c r="F33" s="165">
        <v>30800</v>
      </c>
      <c r="G33" s="165">
        <v>2393910</v>
      </c>
      <c r="H33" s="160">
        <f t="shared" si="0"/>
        <v>7734645</v>
      </c>
      <c r="I33" s="165">
        <v>7589496</v>
      </c>
      <c r="J33" s="160">
        <f t="shared" si="6"/>
        <v>145149</v>
      </c>
      <c r="K33" s="160">
        <f t="shared" si="2"/>
        <v>7734645</v>
      </c>
      <c r="L33" s="165">
        <v>252000</v>
      </c>
      <c r="M33" s="160">
        <v>50000</v>
      </c>
      <c r="N33" s="165">
        <v>220942</v>
      </c>
      <c r="O33" s="160">
        <f t="shared" si="3"/>
        <v>7211703</v>
      </c>
      <c r="P33" s="165">
        <v>2103465</v>
      </c>
      <c r="Q33" s="160">
        <f t="shared" si="4"/>
        <v>2163510.9</v>
      </c>
      <c r="R33" s="160">
        <f t="shared" si="5"/>
        <v>60045.899999999907</v>
      </c>
    </row>
    <row r="34" spans="2:18" x14ac:dyDescent="0.25">
      <c r="B34" s="190">
        <v>46109</v>
      </c>
      <c r="C34" s="160">
        <v>9</v>
      </c>
      <c r="D34" s="165">
        <v>1093420</v>
      </c>
      <c r="E34" s="615"/>
      <c r="F34" s="165">
        <v>44440</v>
      </c>
      <c r="G34" s="615"/>
      <c r="H34" s="160">
        <f t="shared" si="0"/>
        <v>1137860</v>
      </c>
      <c r="I34" s="165">
        <v>1055848</v>
      </c>
      <c r="J34" s="160">
        <f t="shared" si="6"/>
        <v>82012</v>
      </c>
      <c r="K34" s="160">
        <f t="shared" si="2"/>
        <v>1137860</v>
      </c>
      <c r="L34" s="165">
        <v>36500</v>
      </c>
      <c r="M34" s="160"/>
      <c r="N34" s="160"/>
      <c r="O34" s="160">
        <f t="shared" si="3"/>
        <v>1101360</v>
      </c>
      <c r="P34" s="165">
        <v>313530</v>
      </c>
      <c r="Q34" s="160">
        <f t="shared" si="4"/>
        <v>330408</v>
      </c>
      <c r="R34" s="160">
        <f t="shared" si="5"/>
        <v>16878</v>
      </c>
    </row>
    <row r="35" spans="2:18" x14ac:dyDescent="0.25">
      <c r="B35" s="190">
        <v>46110</v>
      </c>
      <c r="C35" s="239">
        <v>8</v>
      </c>
      <c r="D35" s="165">
        <v>868864</v>
      </c>
      <c r="E35" s="615"/>
      <c r="F35" s="615"/>
      <c r="G35" s="615"/>
      <c r="H35" s="160">
        <f t="shared" si="0"/>
        <v>868864</v>
      </c>
      <c r="I35" s="165">
        <v>844623</v>
      </c>
      <c r="J35" s="160">
        <f t="shared" si="6"/>
        <v>24241</v>
      </c>
      <c r="K35" s="160">
        <f t="shared" si="2"/>
        <v>868864</v>
      </c>
      <c r="L35" s="160">
        <v>57500</v>
      </c>
      <c r="M35" s="160"/>
      <c r="N35" s="160">
        <v>4000</v>
      </c>
      <c r="O35" s="160">
        <f t="shared" si="3"/>
        <v>807364</v>
      </c>
      <c r="P35" s="165">
        <v>236153</v>
      </c>
      <c r="Q35" s="160">
        <f t="shared" si="4"/>
        <v>242209.19999999998</v>
      </c>
      <c r="R35" s="160">
        <f t="shared" si="5"/>
        <v>6056.1999999999825</v>
      </c>
    </row>
    <row r="36" spans="2:18" x14ac:dyDescent="0.25">
      <c r="B36" s="190">
        <v>46111</v>
      </c>
      <c r="C36" s="160">
        <v>8</v>
      </c>
      <c r="D36" s="165">
        <v>1815257</v>
      </c>
      <c r="E36" s="165">
        <v>298960</v>
      </c>
      <c r="F36" s="615"/>
      <c r="G36" s="615"/>
      <c r="H36" s="160">
        <f t="shared" si="0"/>
        <v>2114217</v>
      </c>
      <c r="I36" s="165">
        <v>976741</v>
      </c>
      <c r="J36" s="160">
        <f t="shared" si="6"/>
        <v>1137476</v>
      </c>
      <c r="K36" s="160">
        <f t="shared" si="2"/>
        <v>2114217</v>
      </c>
      <c r="L36" s="165">
        <v>184250</v>
      </c>
      <c r="M36" s="160"/>
      <c r="N36" s="165">
        <v>26400</v>
      </c>
      <c r="O36" s="160">
        <f t="shared" si="3"/>
        <v>1903567</v>
      </c>
      <c r="P36" s="165">
        <v>556793</v>
      </c>
      <c r="Q36" s="160">
        <f t="shared" si="4"/>
        <v>571070.1</v>
      </c>
      <c r="R36" s="160">
        <f t="shared" si="5"/>
        <v>14277.099999999977</v>
      </c>
    </row>
    <row r="37" spans="2:18" ht="15.75" thickBot="1" x14ac:dyDescent="0.3">
      <c r="B37" s="737">
        <v>46112</v>
      </c>
      <c r="C37" s="160">
        <v>15</v>
      </c>
      <c r="D37" s="165">
        <v>2410266</v>
      </c>
      <c r="E37" s="160"/>
      <c r="F37" s="165">
        <v>64130</v>
      </c>
      <c r="G37" s="165">
        <v>2742160</v>
      </c>
      <c r="H37" s="160">
        <f t="shared" si="0"/>
        <v>5216556</v>
      </c>
      <c r="I37" s="165">
        <v>5060004</v>
      </c>
      <c r="J37" s="160">
        <f t="shared" si="6"/>
        <v>156552</v>
      </c>
      <c r="K37" s="160">
        <f t="shared" si="2"/>
        <v>5216556</v>
      </c>
      <c r="L37" s="165">
        <v>141250</v>
      </c>
      <c r="M37" s="160">
        <v>50000</v>
      </c>
      <c r="N37" s="160"/>
      <c r="O37" s="160">
        <f t="shared" si="3"/>
        <v>5025306</v>
      </c>
      <c r="P37" s="165">
        <v>1457494</v>
      </c>
      <c r="Q37" s="239">
        <f t="shared" si="4"/>
        <v>1507591.8</v>
      </c>
      <c r="R37" s="160">
        <f t="shared" si="5"/>
        <v>50097.800000000047</v>
      </c>
    </row>
    <row r="38" spans="2:18" ht="15.75" thickBot="1" x14ac:dyDescent="0.3">
      <c r="C38" s="242">
        <f>SUM(C7:C37)</f>
        <v>383</v>
      </c>
      <c r="K38" s="242">
        <f t="shared" ref="K38:R38" si="7">SUM(K7:K37)</f>
        <v>95531918</v>
      </c>
      <c r="L38" s="242">
        <f t="shared" si="7"/>
        <v>3008000</v>
      </c>
      <c r="M38" s="242">
        <f t="shared" si="7"/>
        <v>450000</v>
      </c>
      <c r="N38" s="242">
        <f t="shared" si="7"/>
        <v>444964</v>
      </c>
      <c r="O38" s="242">
        <f t="shared" si="7"/>
        <v>91628954</v>
      </c>
      <c r="P38" s="243">
        <f t="shared" si="7"/>
        <v>26359346</v>
      </c>
      <c r="Q38" s="12">
        <f t="shared" si="7"/>
        <v>27488686.199999999</v>
      </c>
      <c r="R38" s="12">
        <f t="shared" si="7"/>
        <v>1129340.199999999</v>
      </c>
    </row>
    <row r="40" spans="2:18" ht="15.75" thickBot="1" x14ac:dyDescent="0.3"/>
    <row r="41" spans="2:18" ht="15.75" thickBot="1" x14ac:dyDescent="0.3">
      <c r="B41" s="103" t="s">
        <v>490</v>
      </c>
      <c r="C41" s="201"/>
      <c r="D41" s="201"/>
      <c r="E41" s="202"/>
      <c r="F41" s="203" t="s">
        <v>229</v>
      </c>
      <c r="I41" s="178" t="s">
        <v>499</v>
      </c>
      <c r="J41" s="179"/>
      <c r="K41" s="186">
        <f>P38</f>
        <v>26359346</v>
      </c>
    </row>
    <row r="42" spans="2:18" ht="15.75" thickBot="1" x14ac:dyDescent="0.3">
      <c r="B42" s="182" t="s">
        <v>491</v>
      </c>
      <c r="C42" s="183"/>
      <c r="D42" s="183"/>
      <c r="E42" s="181"/>
      <c r="F42" s="90"/>
      <c r="I42" s="178" t="s">
        <v>500</v>
      </c>
      <c r="J42" s="179"/>
      <c r="K42" s="186">
        <f>F52</f>
        <v>0</v>
      </c>
    </row>
    <row r="43" spans="2:18" ht="15.75" thickBot="1" x14ac:dyDescent="0.3">
      <c r="B43" s="21" t="s">
        <v>492</v>
      </c>
      <c r="C43" s="180"/>
      <c r="D43" s="180"/>
      <c r="E43" s="19"/>
      <c r="F43" s="3"/>
      <c r="K43" s="12">
        <f>K41-K42</f>
        <v>26359346</v>
      </c>
    </row>
    <row r="44" spans="2:18" ht="15.75" thickBot="1" x14ac:dyDescent="0.3">
      <c r="B44" s="21" t="s">
        <v>493</v>
      </c>
      <c r="C44" s="180"/>
      <c r="D44" s="180"/>
      <c r="E44" s="19"/>
      <c r="F44" s="3"/>
    </row>
    <row r="45" spans="2:18" ht="15.75" thickBot="1" x14ac:dyDescent="0.3">
      <c r="B45" t="s">
        <v>494</v>
      </c>
      <c r="E45" s="19"/>
      <c r="F45" s="3"/>
      <c r="I45" s="178" t="s">
        <v>502</v>
      </c>
      <c r="J45" s="179"/>
      <c r="K45" s="177">
        <v>100000000</v>
      </c>
    </row>
    <row r="46" spans="2:18" ht="15.75" thickBot="1" x14ac:dyDescent="0.3">
      <c r="B46" s="21" t="s">
        <v>495</v>
      </c>
      <c r="C46" s="180"/>
      <c r="D46" s="180"/>
      <c r="E46" s="19"/>
      <c r="F46" s="3"/>
      <c r="I46" s="178" t="s">
        <v>503</v>
      </c>
      <c r="J46" s="179"/>
      <c r="K46" s="361">
        <f>O38</f>
        <v>91628954</v>
      </c>
    </row>
    <row r="47" spans="2:18" ht="15.75" thickBot="1" x14ac:dyDescent="0.3">
      <c r="B47" s="21" t="s">
        <v>496</v>
      </c>
      <c r="C47" s="180"/>
      <c r="D47" s="180"/>
      <c r="E47" s="19"/>
      <c r="F47" s="3"/>
      <c r="K47" s="187">
        <f>K46/K45</f>
        <v>0.91628953999999996</v>
      </c>
    </row>
    <row r="48" spans="2:18" x14ac:dyDescent="0.25">
      <c r="B48" s="21" t="s">
        <v>497</v>
      </c>
      <c r="C48" s="180"/>
      <c r="D48" s="180"/>
      <c r="E48" s="19"/>
      <c r="F48" s="3"/>
    </row>
    <row r="49" spans="2:6" x14ac:dyDescent="0.25">
      <c r="B49" s="21" t="s">
        <v>498</v>
      </c>
      <c r="C49" s="180"/>
      <c r="D49" s="180"/>
      <c r="E49" s="19"/>
      <c r="F49" s="3"/>
    </row>
    <row r="50" spans="2:6" x14ac:dyDescent="0.25">
      <c r="B50" s="21" t="s">
        <v>501</v>
      </c>
      <c r="C50" s="180"/>
      <c r="D50" s="180"/>
      <c r="E50" s="19"/>
      <c r="F50" s="3"/>
    </row>
    <row r="51" spans="2:6" ht="15.75" thickBot="1" x14ac:dyDescent="0.3">
      <c r="B51" s="21"/>
      <c r="C51" s="180"/>
      <c r="D51" s="180"/>
      <c r="E51" s="19"/>
      <c r="F51" s="185"/>
    </row>
    <row r="52" spans="2:6" ht="15.75" thickBot="1" x14ac:dyDescent="0.3">
      <c r="F52" s="177">
        <f>SUM(F42:F51)</f>
        <v>0</v>
      </c>
    </row>
    <row r="53" spans="2:6" x14ac:dyDescent="0.25">
      <c r="F53" s="18"/>
    </row>
    <row r="54" spans="2:6" x14ac:dyDescent="0.25">
      <c r="F54" s="18"/>
    </row>
  </sheetData>
  <mergeCells count="14">
    <mergeCell ref="N5:N6"/>
    <mergeCell ref="O5:O6"/>
    <mergeCell ref="P5:P6"/>
    <mergeCell ref="R5:R6"/>
    <mergeCell ref="A4:R4"/>
    <mergeCell ref="B5:B6"/>
    <mergeCell ref="C5:C6"/>
    <mergeCell ref="D5:G5"/>
    <mergeCell ref="H5:H6"/>
    <mergeCell ref="I5:I6"/>
    <mergeCell ref="J5:J6"/>
    <mergeCell ref="K5:K6"/>
    <mergeCell ref="L5:L6"/>
    <mergeCell ref="M5:M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AADDD-D61A-4960-946D-88F4FAF37933}">
  <dimension ref="A3:U106"/>
  <sheetViews>
    <sheetView topLeftCell="A57" workbookViewId="0">
      <selection activeCell="O56" sqref="O56"/>
    </sheetView>
  </sheetViews>
  <sheetFormatPr defaultRowHeight="15" x14ac:dyDescent="0.25"/>
  <cols>
    <col min="1" max="1" width="3.140625" customWidth="1"/>
    <col min="2" max="2" width="12.28515625" customWidth="1"/>
    <col min="3" max="3" width="9.28515625" bestFit="1" customWidth="1"/>
    <col min="4" max="4" width="12.42578125" customWidth="1"/>
    <col min="5" max="5" width="10.7109375" customWidth="1"/>
    <col min="6" max="6" width="10.5703125" bestFit="1" customWidth="1"/>
    <col min="7" max="7" width="11.42578125" customWidth="1"/>
    <col min="8" max="8" width="14.140625" customWidth="1"/>
    <col min="9" max="9" width="14.42578125" customWidth="1"/>
    <col min="10" max="10" width="12.140625" customWidth="1"/>
    <col min="11" max="11" width="14" customWidth="1"/>
    <col min="12" max="12" width="12.28515625" customWidth="1"/>
    <col min="14" max="14" width="10.28515625" customWidth="1"/>
    <col min="15" max="15" width="12.42578125" customWidth="1"/>
    <col min="16" max="16" width="14.28515625" customWidth="1"/>
    <col min="17" max="17" width="13.5703125" customWidth="1"/>
    <col min="18" max="18" width="12.7109375" customWidth="1"/>
    <col min="21" max="21" width="15.7109375" customWidth="1"/>
  </cols>
  <sheetData>
    <row r="3" spans="1:18" ht="15.75" thickBot="1" x14ac:dyDescent="0.3"/>
    <row r="4" spans="1:18" ht="19.5" thickBot="1" x14ac:dyDescent="0.35">
      <c r="A4" s="350" t="s">
        <v>505</v>
      </c>
      <c r="B4" s="351"/>
      <c r="C4" s="352"/>
      <c r="D4" s="350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2"/>
    </row>
    <row r="5" spans="1:18" ht="15.75" thickBot="1" x14ac:dyDescent="0.3">
      <c r="A5" s="288"/>
      <c r="B5" s="288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</row>
    <row r="6" spans="1:18" ht="16.5" thickBot="1" x14ac:dyDescent="0.3">
      <c r="A6" s="1202" t="s">
        <v>998</v>
      </c>
      <c r="B6" s="1203"/>
      <c r="C6" s="1203"/>
      <c r="D6" s="1203"/>
      <c r="E6" s="1203"/>
      <c r="F6" s="1203"/>
      <c r="G6" s="1203"/>
      <c r="H6" s="1203"/>
      <c r="I6" s="1203"/>
      <c r="J6" s="1203"/>
      <c r="K6" s="1203"/>
      <c r="L6" s="1203"/>
      <c r="M6" s="1203"/>
      <c r="N6" s="1203"/>
      <c r="O6" s="1203"/>
      <c r="P6" s="1203"/>
      <c r="Q6" s="1203"/>
      <c r="R6" s="1204"/>
    </row>
    <row r="7" spans="1:18" ht="15.75" thickBot="1" x14ac:dyDescent="0.3">
      <c r="B7" s="1206" t="s">
        <v>0</v>
      </c>
      <c r="C7" s="1191" t="s">
        <v>1</v>
      </c>
      <c r="D7" s="1208" t="s">
        <v>2</v>
      </c>
      <c r="E7" s="1209"/>
      <c r="F7" s="1209"/>
      <c r="G7" s="1210"/>
      <c r="H7" s="1191" t="s">
        <v>3</v>
      </c>
      <c r="I7" s="1191" t="s">
        <v>4</v>
      </c>
      <c r="J7" s="1191" t="s">
        <v>5</v>
      </c>
      <c r="K7" s="1189" t="s">
        <v>6</v>
      </c>
      <c r="L7" s="1189" t="s">
        <v>7</v>
      </c>
      <c r="M7" s="1189" t="s">
        <v>8</v>
      </c>
      <c r="N7" s="1189" t="s">
        <v>9</v>
      </c>
      <c r="O7" s="1189" t="s">
        <v>10</v>
      </c>
      <c r="P7" s="1189" t="s">
        <v>386</v>
      </c>
      <c r="Q7" s="739" t="s">
        <v>11</v>
      </c>
      <c r="R7" s="1200" t="s">
        <v>387</v>
      </c>
    </row>
    <row r="8" spans="1:18" ht="15.75" thickBot="1" x14ac:dyDescent="0.3">
      <c r="B8" s="1190"/>
      <c r="C8" s="1192"/>
      <c r="D8" s="195" t="s">
        <v>13</v>
      </c>
      <c r="E8" s="301" t="s">
        <v>14</v>
      </c>
      <c r="F8" s="195" t="s">
        <v>15</v>
      </c>
      <c r="G8" s="195" t="s">
        <v>16</v>
      </c>
      <c r="H8" s="1192"/>
      <c r="I8" s="1192"/>
      <c r="J8" s="1192"/>
      <c r="K8" s="1190"/>
      <c r="L8" s="1190"/>
      <c r="M8" s="1190"/>
      <c r="N8" s="1190"/>
      <c r="O8" s="1190"/>
      <c r="P8" s="1190"/>
      <c r="Q8" s="740">
        <v>0.3</v>
      </c>
      <c r="R8" s="1201"/>
    </row>
    <row r="9" spans="1:18" x14ac:dyDescent="0.25">
      <c r="B9" s="190">
        <v>46113</v>
      </c>
      <c r="C9" s="738">
        <v>13</v>
      </c>
      <c r="D9" s="140">
        <v>1052014</v>
      </c>
      <c r="E9" s="140">
        <v>210080</v>
      </c>
      <c r="F9" s="140">
        <v>33330</v>
      </c>
      <c r="G9" s="620">
        <v>0</v>
      </c>
      <c r="H9" s="620">
        <f>+D9+E9+F9+G9</f>
        <v>1295424</v>
      </c>
      <c r="I9" s="140">
        <v>872742</v>
      </c>
      <c r="J9" s="620">
        <f>+H9-I9</f>
        <v>422682</v>
      </c>
      <c r="K9" s="620">
        <f>+I9+J9</f>
        <v>1295424</v>
      </c>
      <c r="L9" s="140">
        <v>54750</v>
      </c>
      <c r="M9" s="620">
        <v>0</v>
      </c>
      <c r="N9" s="620">
        <v>0</v>
      </c>
      <c r="O9" s="620">
        <f>+K9-L9-M9-N9</f>
        <v>1240674</v>
      </c>
      <c r="P9" s="140">
        <v>356446</v>
      </c>
      <c r="Q9" s="620">
        <f>O9*30%</f>
        <v>372202.2</v>
      </c>
      <c r="R9" s="620">
        <f>Q9-P9</f>
        <v>15756.200000000012</v>
      </c>
    </row>
    <row r="10" spans="1:18" x14ac:dyDescent="0.25">
      <c r="B10" s="190">
        <v>46114</v>
      </c>
      <c r="C10" s="678">
        <v>24</v>
      </c>
      <c r="D10" s="165">
        <v>4373473</v>
      </c>
      <c r="E10" s="165">
        <v>96000</v>
      </c>
      <c r="F10" s="165">
        <v>181775</v>
      </c>
      <c r="G10" s="165">
        <v>1842240</v>
      </c>
      <c r="H10" s="160">
        <f t="shared" ref="H10:H39" si="0">+D10+E10+F10+G10</f>
        <v>6493488</v>
      </c>
      <c r="I10" s="165">
        <v>6238614</v>
      </c>
      <c r="J10" s="160">
        <f t="shared" ref="J10:J12" si="1">+H10-I10</f>
        <v>254874</v>
      </c>
      <c r="K10" s="160">
        <f t="shared" ref="K10:K39" si="2">+I10+J10</f>
        <v>6493488</v>
      </c>
      <c r="L10" s="165">
        <v>193750</v>
      </c>
      <c r="M10" s="160">
        <v>0</v>
      </c>
      <c r="N10" s="165">
        <v>1298064</v>
      </c>
      <c r="O10" s="160">
        <f t="shared" ref="O10:O39" si="3">+K10-L10-M10-N10</f>
        <v>5001674</v>
      </c>
      <c r="P10" s="165">
        <v>1427836</v>
      </c>
      <c r="Q10" s="165">
        <f t="shared" ref="Q10:Q39" si="4">O10*30%</f>
        <v>1500502.2</v>
      </c>
      <c r="R10" s="165">
        <f t="shared" ref="R10:R39" si="5">Q10-P10</f>
        <v>72666.199999999953</v>
      </c>
    </row>
    <row r="11" spans="1:18" x14ac:dyDescent="0.25">
      <c r="B11" s="190">
        <v>46115</v>
      </c>
      <c r="C11" s="504">
        <v>7</v>
      </c>
      <c r="D11" s="165">
        <v>2196193</v>
      </c>
      <c r="E11" s="165">
        <v>756275</v>
      </c>
      <c r="F11" s="165">
        <v>499950</v>
      </c>
      <c r="G11" s="165">
        <v>1468715</v>
      </c>
      <c r="H11" s="160">
        <f t="shared" si="0"/>
        <v>4921133</v>
      </c>
      <c r="I11" s="165">
        <v>4759937</v>
      </c>
      <c r="J11" s="160">
        <f t="shared" si="1"/>
        <v>161196</v>
      </c>
      <c r="K11" s="160">
        <f t="shared" si="2"/>
        <v>4921133</v>
      </c>
      <c r="L11" s="165">
        <v>295500</v>
      </c>
      <c r="M11" s="160">
        <v>50000</v>
      </c>
      <c r="N11" s="160">
        <v>0</v>
      </c>
      <c r="O11" s="160">
        <f t="shared" si="3"/>
        <v>4575633</v>
      </c>
      <c r="P11" s="165">
        <v>1241564</v>
      </c>
      <c r="Q11" s="160">
        <f t="shared" si="4"/>
        <v>1372689.9</v>
      </c>
      <c r="R11" s="160">
        <f t="shared" si="5"/>
        <v>131125.89999999991</v>
      </c>
    </row>
    <row r="12" spans="1:18" x14ac:dyDescent="0.25">
      <c r="B12" s="190">
        <v>46116</v>
      </c>
      <c r="C12" s="504">
        <v>17</v>
      </c>
      <c r="D12" s="165">
        <v>1258866</v>
      </c>
      <c r="E12" s="165">
        <v>481818</v>
      </c>
      <c r="F12" s="615">
        <v>0</v>
      </c>
      <c r="G12" s="165">
        <v>4193640</v>
      </c>
      <c r="H12" s="160">
        <f t="shared" si="0"/>
        <v>5934324</v>
      </c>
      <c r="I12" s="165">
        <v>5636374</v>
      </c>
      <c r="J12" s="160">
        <f t="shared" si="1"/>
        <v>297950</v>
      </c>
      <c r="K12" s="160">
        <f t="shared" si="2"/>
        <v>5934324</v>
      </c>
      <c r="L12" s="165">
        <v>173250</v>
      </c>
      <c r="M12" s="160">
        <v>50000</v>
      </c>
      <c r="N12" s="160">
        <v>0</v>
      </c>
      <c r="O12" s="160">
        <f t="shared" si="3"/>
        <v>5711074</v>
      </c>
      <c r="P12" s="165">
        <v>1670489</v>
      </c>
      <c r="Q12" s="160">
        <f t="shared" si="4"/>
        <v>1713322.2</v>
      </c>
      <c r="R12" s="160">
        <f t="shared" si="5"/>
        <v>42833.199999999953</v>
      </c>
    </row>
    <row r="13" spans="1:18" x14ac:dyDescent="0.25">
      <c r="B13" s="190">
        <v>46117</v>
      </c>
      <c r="C13" s="504">
        <v>4</v>
      </c>
      <c r="D13" s="165">
        <v>178670</v>
      </c>
      <c r="E13" s="615">
        <v>0</v>
      </c>
      <c r="F13" s="160">
        <v>0</v>
      </c>
      <c r="G13" s="165">
        <v>624400</v>
      </c>
      <c r="H13" s="160">
        <f t="shared" si="0"/>
        <v>803070</v>
      </c>
      <c r="I13" s="165">
        <v>803070</v>
      </c>
      <c r="J13" s="160">
        <f>+H13-I13</f>
        <v>0</v>
      </c>
      <c r="K13" s="160">
        <f t="shared" si="2"/>
        <v>803070</v>
      </c>
      <c r="L13" s="165">
        <v>45250</v>
      </c>
      <c r="M13" s="160">
        <v>50000</v>
      </c>
      <c r="N13" s="160">
        <v>0</v>
      </c>
      <c r="O13" s="160">
        <f t="shared" si="3"/>
        <v>707820</v>
      </c>
      <c r="P13" s="165">
        <v>207037</v>
      </c>
      <c r="Q13" s="160">
        <f t="shared" si="4"/>
        <v>212346</v>
      </c>
      <c r="R13" s="160">
        <f t="shared" si="5"/>
        <v>5309</v>
      </c>
    </row>
    <row r="14" spans="1:18" x14ac:dyDescent="0.25">
      <c r="B14" s="190">
        <v>46118</v>
      </c>
      <c r="C14" s="504">
        <v>27</v>
      </c>
      <c r="D14" s="165">
        <v>1644713</v>
      </c>
      <c r="E14" s="165">
        <v>133320</v>
      </c>
      <c r="F14" s="160">
        <v>0</v>
      </c>
      <c r="G14" s="165">
        <v>2627250</v>
      </c>
      <c r="H14" s="160">
        <f t="shared" si="0"/>
        <v>4405283</v>
      </c>
      <c r="I14" s="165">
        <v>3432931</v>
      </c>
      <c r="J14" s="160">
        <f>+H14-I14</f>
        <v>972352</v>
      </c>
      <c r="K14" s="160">
        <f t="shared" si="2"/>
        <v>4405283</v>
      </c>
      <c r="L14" s="165">
        <v>197000</v>
      </c>
      <c r="M14" s="160">
        <v>100000</v>
      </c>
      <c r="N14" s="160">
        <v>0</v>
      </c>
      <c r="O14" s="160">
        <f t="shared" si="3"/>
        <v>4108283</v>
      </c>
      <c r="P14" s="165">
        <v>1201672</v>
      </c>
      <c r="Q14" s="160">
        <f t="shared" si="4"/>
        <v>1232484.8999999999</v>
      </c>
      <c r="R14" s="160">
        <f t="shared" si="5"/>
        <v>30812.899999999907</v>
      </c>
    </row>
    <row r="15" spans="1:18" x14ac:dyDescent="0.25">
      <c r="B15" s="190">
        <v>46119</v>
      </c>
      <c r="C15" s="504">
        <v>22</v>
      </c>
      <c r="D15" s="165">
        <v>3783032</v>
      </c>
      <c r="E15" s="165">
        <v>226240</v>
      </c>
      <c r="F15" s="165">
        <v>56353</v>
      </c>
      <c r="G15" s="160">
        <v>0</v>
      </c>
      <c r="H15" s="160">
        <f t="shared" si="0"/>
        <v>4065625</v>
      </c>
      <c r="I15" s="165">
        <v>4037347</v>
      </c>
      <c r="J15" s="160">
        <f>+H15-I15</f>
        <v>28278</v>
      </c>
      <c r="K15" s="160">
        <f t="shared" si="2"/>
        <v>4065625</v>
      </c>
      <c r="L15" s="165">
        <v>231000</v>
      </c>
      <c r="M15" s="160">
        <v>0</v>
      </c>
      <c r="N15" s="165">
        <v>226800</v>
      </c>
      <c r="O15" s="160">
        <f t="shared" si="3"/>
        <v>3607825</v>
      </c>
      <c r="P15" s="165">
        <v>1044397</v>
      </c>
      <c r="Q15" s="165">
        <f t="shared" si="4"/>
        <v>1082347.5</v>
      </c>
      <c r="R15" s="165">
        <f t="shared" si="5"/>
        <v>37950.5</v>
      </c>
    </row>
    <row r="16" spans="1:18" x14ac:dyDescent="0.25">
      <c r="B16" s="190">
        <v>46120</v>
      </c>
      <c r="C16" s="504">
        <v>26</v>
      </c>
      <c r="D16" s="165">
        <v>2222806</v>
      </c>
      <c r="E16" s="165">
        <v>203616</v>
      </c>
      <c r="F16" s="165">
        <v>61105</v>
      </c>
      <c r="G16" s="165">
        <v>3174800</v>
      </c>
      <c r="H16" s="160">
        <f t="shared" si="0"/>
        <v>5662327</v>
      </c>
      <c r="I16" s="165">
        <v>5115212</v>
      </c>
      <c r="J16" s="160">
        <f>+H16-I16</f>
        <v>547115</v>
      </c>
      <c r="K16" s="160">
        <f t="shared" si="2"/>
        <v>5662327</v>
      </c>
      <c r="L16" s="165">
        <v>209500</v>
      </c>
      <c r="M16" s="160">
        <v>50000</v>
      </c>
      <c r="N16" s="160">
        <v>0</v>
      </c>
      <c r="O16" s="160">
        <f t="shared" si="3"/>
        <v>5402827</v>
      </c>
      <c r="P16" s="165">
        <v>1568508</v>
      </c>
      <c r="Q16" s="165">
        <f t="shared" si="4"/>
        <v>1620848.0999999999</v>
      </c>
      <c r="R16" s="165">
        <f t="shared" si="5"/>
        <v>52340.09999999986</v>
      </c>
    </row>
    <row r="17" spans="2:21" x14ac:dyDescent="0.25">
      <c r="B17" s="190">
        <v>46121</v>
      </c>
      <c r="C17" s="504">
        <v>12</v>
      </c>
      <c r="D17" s="165">
        <v>6397733</v>
      </c>
      <c r="E17" s="615">
        <v>0</v>
      </c>
      <c r="F17" s="165">
        <v>104126</v>
      </c>
      <c r="G17" s="160">
        <v>0</v>
      </c>
      <c r="H17" s="160">
        <f t="shared" si="0"/>
        <v>6501859</v>
      </c>
      <c r="I17" s="165">
        <v>5863028</v>
      </c>
      <c r="J17" s="160">
        <f>+H17-I17</f>
        <v>638831</v>
      </c>
      <c r="K17" s="160">
        <f t="shared" si="2"/>
        <v>6501859</v>
      </c>
      <c r="L17" s="165">
        <v>347750</v>
      </c>
      <c r="M17" s="160">
        <v>0</v>
      </c>
      <c r="N17" s="165">
        <v>57600</v>
      </c>
      <c r="O17" s="160">
        <f t="shared" si="3"/>
        <v>6096509</v>
      </c>
      <c r="P17" s="165">
        <v>1763070</v>
      </c>
      <c r="Q17" s="160">
        <f t="shared" si="4"/>
        <v>1828952.7</v>
      </c>
      <c r="R17" s="160">
        <f t="shared" si="5"/>
        <v>65882.699999999953</v>
      </c>
    </row>
    <row r="18" spans="2:21" x14ac:dyDescent="0.25">
      <c r="B18" s="190">
        <v>46122</v>
      </c>
      <c r="C18" s="504">
        <v>20</v>
      </c>
      <c r="D18" s="165">
        <v>1838168</v>
      </c>
      <c r="E18" s="165">
        <v>1028400</v>
      </c>
      <c r="F18" s="160">
        <v>0</v>
      </c>
      <c r="G18" s="165">
        <v>901070</v>
      </c>
      <c r="H18" s="160">
        <f t="shared" si="0"/>
        <v>3767638</v>
      </c>
      <c r="I18" s="165">
        <v>3498170</v>
      </c>
      <c r="J18" s="160">
        <f t="shared" ref="J18:J39" si="6">+H18-I18</f>
        <v>269468</v>
      </c>
      <c r="K18" s="160">
        <f t="shared" si="2"/>
        <v>3767638</v>
      </c>
      <c r="L18" s="165">
        <v>172250</v>
      </c>
      <c r="M18" s="160">
        <v>50000</v>
      </c>
      <c r="N18" s="160">
        <v>30000</v>
      </c>
      <c r="O18" s="160">
        <f t="shared" si="3"/>
        <v>3515388</v>
      </c>
      <c r="P18" s="165">
        <v>1028250</v>
      </c>
      <c r="Q18" s="160">
        <f t="shared" si="4"/>
        <v>1054616.3999999999</v>
      </c>
      <c r="R18" s="160">
        <f t="shared" si="5"/>
        <v>26366.399999999907</v>
      </c>
    </row>
    <row r="19" spans="2:21" x14ac:dyDescent="0.25">
      <c r="B19" s="190">
        <v>46123</v>
      </c>
      <c r="C19" s="504">
        <v>13</v>
      </c>
      <c r="D19" s="76">
        <v>560653</v>
      </c>
      <c r="E19" s="76">
        <v>1956608</v>
      </c>
      <c r="F19" s="615">
        <v>0</v>
      </c>
      <c r="G19" s="76">
        <v>614960</v>
      </c>
      <c r="H19" s="160">
        <f t="shared" si="0"/>
        <v>3132221</v>
      </c>
      <c r="I19" s="76">
        <v>3055865</v>
      </c>
      <c r="J19" s="160">
        <f t="shared" si="6"/>
        <v>76356</v>
      </c>
      <c r="K19" s="160">
        <f t="shared" si="2"/>
        <v>3132221</v>
      </c>
      <c r="L19" s="76">
        <v>127250</v>
      </c>
      <c r="M19" s="160">
        <v>50000</v>
      </c>
      <c r="N19" s="160">
        <v>20000</v>
      </c>
      <c r="O19" s="160">
        <f t="shared" si="3"/>
        <v>2934971</v>
      </c>
      <c r="P19" s="76">
        <v>858479</v>
      </c>
      <c r="Q19" s="160">
        <f t="shared" si="4"/>
        <v>880491.29999999993</v>
      </c>
      <c r="R19" s="160">
        <f t="shared" si="5"/>
        <v>22012.29999999993</v>
      </c>
    </row>
    <row r="20" spans="2:21" x14ac:dyDescent="0.25">
      <c r="B20" s="190">
        <v>46124</v>
      </c>
      <c r="C20" s="741">
        <v>3</v>
      </c>
      <c r="D20" s="140">
        <v>325120</v>
      </c>
      <c r="E20" s="239">
        <v>0</v>
      </c>
      <c r="F20" s="239">
        <v>0</v>
      </c>
      <c r="G20" s="140">
        <v>1725800</v>
      </c>
      <c r="H20" s="239">
        <f t="shared" si="0"/>
        <v>2050920</v>
      </c>
      <c r="I20" s="140">
        <v>2013044</v>
      </c>
      <c r="J20" s="239">
        <f t="shared" si="6"/>
        <v>37876</v>
      </c>
      <c r="K20" s="239">
        <f t="shared" si="2"/>
        <v>2050920</v>
      </c>
      <c r="L20" s="140">
        <v>58250</v>
      </c>
      <c r="M20" s="239">
        <v>50000</v>
      </c>
      <c r="N20" s="239">
        <v>0</v>
      </c>
      <c r="O20" s="239">
        <f t="shared" si="3"/>
        <v>1942670</v>
      </c>
      <c r="P20" s="140">
        <v>568230</v>
      </c>
      <c r="Q20" s="239">
        <f t="shared" si="4"/>
        <v>582801</v>
      </c>
      <c r="R20" s="239">
        <f t="shared" si="5"/>
        <v>14571</v>
      </c>
    </row>
    <row r="21" spans="2:21" x14ac:dyDescent="0.25">
      <c r="B21" s="190">
        <v>46125</v>
      </c>
      <c r="C21" s="160">
        <v>18</v>
      </c>
      <c r="D21" s="165">
        <v>1468984</v>
      </c>
      <c r="E21" s="165">
        <v>170000</v>
      </c>
      <c r="F21" s="165">
        <v>2026464</v>
      </c>
      <c r="G21" s="165">
        <v>0</v>
      </c>
      <c r="H21" s="160">
        <f t="shared" si="0"/>
        <v>3665448</v>
      </c>
      <c r="I21" s="165">
        <v>3665448</v>
      </c>
      <c r="J21" s="160">
        <f t="shared" si="6"/>
        <v>0</v>
      </c>
      <c r="K21" s="160">
        <f t="shared" si="2"/>
        <v>3665448</v>
      </c>
      <c r="L21" s="165">
        <v>93250</v>
      </c>
      <c r="M21" s="165">
        <v>0</v>
      </c>
      <c r="N21" s="160">
        <v>10000</v>
      </c>
      <c r="O21" s="160">
        <f t="shared" si="3"/>
        <v>3562198</v>
      </c>
      <c r="P21" s="165">
        <v>650633</v>
      </c>
      <c r="Q21" s="165">
        <f t="shared" si="4"/>
        <v>1068659.3999999999</v>
      </c>
      <c r="R21" s="165">
        <f t="shared" si="5"/>
        <v>418026.39999999991</v>
      </c>
    </row>
    <row r="22" spans="2:21" x14ac:dyDescent="0.25">
      <c r="B22" s="190">
        <v>46126</v>
      </c>
      <c r="C22" s="160">
        <v>19</v>
      </c>
      <c r="D22" s="165">
        <v>3533492</v>
      </c>
      <c r="E22" s="165">
        <v>0</v>
      </c>
      <c r="F22" s="165">
        <v>58575</v>
      </c>
      <c r="G22" s="165">
        <v>1331000</v>
      </c>
      <c r="H22" s="160">
        <f t="shared" si="0"/>
        <v>4923067</v>
      </c>
      <c r="I22" s="165">
        <v>4680667</v>
      </c>
      <c r="J22" s="160">
        <f t="shared" si="6"/>
        <v>242400</v>
      </c>
      <c r="K22" s="160">
        <f t="shared" si="2"/>
        <v>4923067</v>
      </c>
      <c r="L22" s="165">
        <v>170000</v>
      </c>
      <c r="M22" s="165">
        <v>50000</v>
      </c>
      <c r="N22" s="165">
        <v>0</v>
      </c>
      <c r="O22" s="160">
        <f t="shared" si="3"/>
        <v>4703067</v>
      </c>
      <c r="P22" s="165">
        <v>1364322</v>
      </c>
      <c r="Q22" s="165">
        <f t="shared" si="4"/>
        <v>1410920.0999999999</v>
      </c>
      <c r="R22" s="165">
        <f t="shared" si="5"/>
        <v>46598.09999999986</v>
      </c>
    </row>
    <row r="23" spans="2:21" x14ac:dyDescent="0.25">
      <c r="B23" s="190">
        <v>46127</v>
      </c>
      <c r="C23" s="274">
        <v>18</v>
      </c>
      <c r="D23" s="165">
        <v>1373092</v>
      </c>
      <c r="E23" s="165">
        <v>0</v>
      </c>
      <c r="F23" s="165">
        <v>61105</v>
      </c>
      <c r="G23" s="160">
        <v>0</v>
      </c>
      <c r="H23" s="165">
        <f t="shared" si="0"/>
        <v>1434197</v>
      </c>
      <c r="I23" s="165">
        <v>978284</v>
      </c>
      <c r="J23" s="160">
        <f t="shared" si="6"/>
        <v>455913</v>
      </c>
      <c r="K23" s="160">
        <f t="shared" si="2"/>
        <v>1434197</v>
      </c>
      <c r="L23" s="165">
        <v>92500</v>
      </c>
      <c r="M23" s="160">
        <v>0</v>
      </c>
      <c r="N23" s="160">
        <v>0</v>
      </c>
      <c r="O23" s="160">
        <f t="shared" si="3"/>
        <v>1341697</v>
      </c>
      <c r="P23" s="165">
        <v>380628</v>
      </c>
      <c r="Q23" s="165">
        <f t="shared" si="4"/>
        <v>402509.1</v>
      </c>
      <c r="R23" s="165">
        <f t="shared" si="5"/>
        <v>21881.099999999977</v>
      </c>
    </row>
    <row r="24" spans="2:21" x14ac:dyDescent="0.25">
      <c r="B24" s="190">
        <v>46128</v>
      </c>
      <c r="C24" s="160">
        <v>13</v>
      </c>
      <c r="D24" s="165">
        <v>1853144</v>
      </c>
      <c r="E24" s="165">
        <v>0</v>
      </c>
      <c r="F24" s="165">
        <v>127765</v>
      </c>
      <c r="G24" s="165">
        <v>1513040</v>
      </c>
      <c r="H24" s="160">
        <f t="shared" si="0"/>
        <v>3493949</v>
      </c>
      <c r="I24" s="165">
        <v>1789477</v>
      </c>
      <c r="J24" s="160">
        <f t="shared" si="6"/>
        <v>1704472</v>
      </c>
      <c r="K24" s="160">
        <f t="shared" si="2"/>
        <v>3493949</v>
      </c>
      <c r="L24" s="165">
        <v>171750</v>
      </c>
      <c r="M24" s="165">
        <v>50000</v>
      </c>
      <c r="N24" s="160">
        <v>40000</v>
      </c>
      <c r="O24" s="160">
        <f t="shared" si="3"/>
        <v>3232199</v>
      </c>
      <c r="P24" s="165">
        <v>920747</v>
      </c>
      <c r="Q24" s="165">
        <f t="shared" si="4"/>
        <v>969659.7</v>
      </c>
      <c r="R24" s="165">
        <f t="shared" si="5"/>
        <v>48912.699999999953</v>
      </c>
    </row>
    <row r="25" spans="2:21" x14ac:dyDescent="0.25">
      <c r="B25" s="190">
        <v>46129</v>
      </c>
      <c r="C25" s="160">
        <v>20</v>
      </c>
      <c r="D25" s="165">
        <v>1297748</v>
      </c>
      <c r="E25" s="165">
        <v>197960</v>
      </c>
      <c r="F25" s="165">
        <v>58575</v>
      </c>
      <c r="G25" s="165">
        <v>1424450</v>
      </c>
      <c r="H25" s="160">
        <f t="shared" si="0"/>
        <v>2978733</v>
      </c>
      <c r="I25" s="165">
        <v>2661595</v>
      </c>
      <c r="J25" s="160">
        <f t="shared" si="6"/>
        <v>317138</v>
      </c>
      <c r="K25" s="160">
        <f t="shared" si="2"/>
        <v>2978733</v>
      </c>
      <c r="L25" s="165">
        <v>97000</v>
      </c>
      <c r="M25" s="165">
        <v>50000</v>
      </c>
      <c r="N25" s="160">
        <v>0</v>
      </c>
      <c r="O25" s="160">
        <f t="shared" si="3"/>
        <v>2831733</v>
      </c>
      <c r="P25" s="165">
        <v>816957</v>
      </c>
      <c r="Q25" s="165">
        <f t="shared" si="4"/>
        <v>849519.9</v>
      </c>
      <c r="R25" s="165">
        <f t="shared" si="5"/>
        <v>32562.900000000023</v>
      </c>
    </row>
    <row r="26" spans="2:21" x14ac:dyDescent="0.25">
      <c r="B26" s="190">
        <v>46130</v>
      </c>
      <c r="C26" s="165">
        <v>12</v>
      </c>
      <c r="D26" s="165">
        <v>749823</v>
      </c>
      <c r="E26" s="165">
        <v>0</v>
      </c>
      <c r="F26" s="165">
        <v>0</v>
      </c>
      <c r="G26" s="165">
        <v>0</v>
      </c>
      <c r="H26" s="160">
        <f t="shared" si="0"/>
        <v>749823</v>
      </c>
      <c r="I26" s="165">
        <v>552268</v>
      </c>
      <c r="J26" s="160">
        <f t="shared" si="6"/>
        <v>197555</v>
      </c>
      <c r="K26" s="160">
        <f t="shared" si="2"/>
        <v>749823</v>
      </c>
      <c r="L26" s="165">
        <v>52000</v>
      </c>
      <c r="M26" s="160">
        <v>0</v>
      </c>
      <c r="N26" s="165">
        <v>0</v>
      </c>
      <c r="O26" s="160">
        <f t="shared" si="3"/>
        <v>697823</v>
      </c>
      <c r="P26" s="165">
        <v>204113</v>
      </c>
      <c r="Q26" s="165">
        <f t="shared" si="4"/>
        <v>209346.9</v>
      </c>
      <c r="R26" s="165">
        <f t="shared" si="5"/>
        <v>5233.8999999999942</v>
      </c>
    </row>
    <row r="27" spans="2:21" x14ac:dyDescent="0.25">
      <c r="B27" s="190">
        <v>46131</v>
      </c>
      <c r="C27" s="165">
        <v>2</v>
      </c>
      <c r="D27" s="76">
        <v>340900</v>
      </c>
      <c r="E27" s="165"/>
      <c r="F27" s="165"/>
      <c r="G27" s="76">
        <v>3226500</v>
      </c>
      <c r="H27" s="160">
        <f t="shared" si="0"/>
        <v>3567400</v>
      </c>
      <c r="I27" s="76">
        <v>3567400</v>
      </c>
      <c r="J27" s="160">
        <f t="shared" si="6"/>
        <v>0</v>
      </c>
      <c r="K27" s="160">
        <f t="shared" si="2"/>
        <v>3567400</v>
      </c>
      <c r="L27" s="76">
        <v>43750</v>
      </c>
      <c r="M27" s="165">
        <v>50000</v>
      </c>
      <c r="N27" s="160"/>
      <c r="O27" s="160">
        <f t="shared" si="3"/>
        <v>3473650</v>
      </c>
      <c r="P27" s="76">
        <v>1016042</v>
      </c>
      <c r="Q27" s="165">
        <f>O27*30%</f>
        <v>1042095</v>
      </c>
      <c r="R27" s="165">
        <f t="shared" si="5"/>
        <v>26053</v>
      </c>
    </row>
    <row r="28" spans="2:21" x14ac:dyDescent="0.25">
      <c r="B28" s="190">
        <v>46132</v>
      </c>
      <c r="C28" s="160">
        <v>17</v>
      </c>
      <c r="D28" s="76">
        <v>1308074</v>
      </c>
      <c r="E28" s="160"/>
      <c r="F28" s="76">
        <v>117458</v>
      </c>
      <c r="G28" s="160"/>
      <c r="H28" s="160">
        <f t="shared" si="0"/>
        <v>1425532</v>
      </c>
      <c r="I28" s="76">
        <v>836174</v>
      </c>
      <c r="J28" s="160">
        <f t="shared" si="6"/>
        <v>589358</v>
      </c>
      <c r="K28" s="160">
        <f t="shared" si="2"/>
        <v>1425532</v>
      </c>
      <c r="L28" s="76">
        <v>129750</v>
      </c>
      <c r="M28" s="160"/>
      <c r="N28" s="160"/>
      <c r="O28" s="160">
        <f t="shared" si="3"/>
        <v>1295782</v>
      </c>
      <c r="P28" s="76">
        <v>356306</v>
      </c>
      <c r="Q28" s="160">
        <f t="shared" si="4"/>
        <v>388734.6</v>
      </c>
      <c r="R28" s="160">
        <f t="shared" si="5"/>
        <v>32428.599999999977</v>
      </c>
    </row>
    <row r="29" spans="2:21" x14ac:dyDescent="0.25">
      <c r="B29" s="190">
        <v>46133</v>
      </c>
      <c r="C29" s="160">
        <v>16</v>
      </c>
      <c r="D29" s="165">
        <v>2092208</v>
      </c>
      <c r="E29" s="165">
        <v>40400</v>
      </c>
      <c r="F29" s="165">
        <v>83325</v>
      </c>
      <c r="G29" s="165">
        <v>1468715</v>
      </c>
      <c r="H29" s="160">
        <f t="shared" si="0"/>
        <v>3684648</v>
      </c>
      <c r="I29" s="165">
        <v>3443765</v>
      </c>
      <c r="J29" s="160">
        <f t="shared" si="6"/>
        <v>240883</v>
      </c>
      <c r="K29" s="160">
        <f t="shared" si="2"/>
        <v>3684648</v>
      </c>
      <c r="L29" s="165">
        <v>133000</v>
      </c>
      <c r="M29" s="160">
        <v>50000</v>
      </c>
      <c r="N29" s="165">
        <v>75100</v>
      </c>
      <c r="O29" s="160">
        <f t="shared" si="3"/>
        <v>3426548</v>
      </c>
      <c r="P29" s="165">
        <v>986163</v>
      </c>
      <c r="Q29" s="160">
        <f t="shared" si="4"/>
        <v>1027964.3999999999</v>
      </c>
      <c r="R29" s="160">
        <f t="shared" si="5"/>
        <v>41801.399999999907</v>
      </c>
    </row>
    <row r="30" spans="2:21" x14ac:dyDescent="0.25">
      <c r="B30" s="190">
        <v>46134</v>
      </c>
      <c r="C30" s="160">
        <v>13</v>
      </c>
      <c r="D30" s="165">
        <v>1263004</v>
      </c>
      <c r="E30" s="165">
        <v>426624</v>
      </c>
      <c r="F30" s="160"/>
      <c r="G30" s="160"/>
      <c r="H30" s="160">
        <f>+D30+E30+F30+G30</f>
        <v>1689628</v>
      </c>
      <c r="I30" s="165">
        <v>1134837</v>
      </c>
      <c r="J30" s="160">
        <f t="shared" si="6"/>
        <v>554791</v>
      </c>
      <c r="K30" s="160">
        <f t="shared" si="2"/>
        <v>1689628</v>
      </c>
      <c r="L30" s="165">
        <v>48500</v>
      </c>
      <c r="M30" s="160"/>
      <c r="N30" s="160"/>
      <c r="O30" s="160">
        <f t="shared" si="3"/>
        <v>1641128</v>
      </c>
      <c r="P30" s="165">
        <v>480029</v>
      </c>
      <c r="Q30" s="160">
        <f t="shared" si="4"/>
        <v>492338.39999999997</v>
      </c>
      <c r="R30" s="160">
        <f t="shared" si="5"/>
        <v>12309.399999999965</v>
      </c>
    </row>
    <row r="31" spans="2:21" x14ac:dyDescent="0.25">
      <c r="B31" s="190">
        <v>46135</v>
      </c>
      <c r="C31" s="165">
        <v>22</v>
      </c>
      <c r="D31" s="165">
        <v>1316436</v>
      </c>
      <c r="E31" s="165">
        <v>347440</v>
      </c>
      <c r="F31" s="165">
        <v>61105</v>
      </c>
      <c r="G31" s="165">
        <v>2536085</v>
      </c>
      <c r="H31" s="160">
        <f t="shared" si="0"/>
        <v>4261066</v>
      </c>
      <c r="I31" s="165">
        <v>4170165</v>
      </c>
      <c r="J31" s="160">
        <f t="shared" si="6"/>
        <v>90901</v>
      </c>
      <c r="K31" s="160">
        <f t="shared" si="2"/>
        <v>4261066</v>
      </c>
      <c r="L31" s="165">
        <v>121500</v>
      </c>
      <c r="M31" s="160">
        <v>100000</v>
      </c>
      <c r="N31" s="160"/>
      <c r="O31" s="160">
        <f t="shared" si="3"/>
        <v>4039566</v>
      </c>
      <c r="P31" s="165">
        <v>1169755</v>
      </c>
      <c r="Q31" s="160">
        <f t="shared" si="4"/>
        <v>1211869.8</v>
      </c>
      <c r="R31" s="160">
        <f t="shared" si="5"/>
        <v>42114.800000000047</v>
      </c>
      <c r="U31" s="18">
        <v>50</v>
      </c>
    </row>
    <row r="32" spans="2:21" x14ac:dyDescent="0.25">
      <c r="B32" s="190">
        <v>46136</v>
      </c>
      <c r="C32" s="239">
        <v>15</v>
      </c>
      <c r="D32" s="165">
        <v>1034746</v>
      </c>
      <c r="E32" s="165">
        <v>197958</v>
      </c>
      <c r="F32" s="165">
        <v>30800</v>
      </c>
      <c r="G32" s="165"/>
      <c r="H32" s="160">
        <f t="shared" si="0"/>
        <v>1263504</v>
      </c>
      <c r="I32" s="165">
        <v>1177148</v>
      </c>
      <c r="J32" s="160">
        <f t="shared" si="6"/>
        <v>86356</v>
      </c>
      <c r="K32" s="160">
        <f t="shared" si="2"/>
        <v>1263504</v>
      </c>
      <c r="L32" s="165">
        <v>43750</v>
      </c>
      <c r="M32" s="160"/>
      <c r="N32" s="165"/>
      <c r="O32" s="160">
        <f t="shared" si="3"/>
        <v>1219754</v>
      </c>
      <c r="P32" s="165">
        <v>350820</v>
      </c>
      <c r="Q32" s="160">
        <f t="shared" si="4"/>
        <v>365926.2</v>
      </c>
      <c r="R32" s="160">
        <f t="shared" si="5"/>
        <v>15106.200000000012</v>
      </c>
      <c r="U32" s="18">
        <v>45</v>
      </c>
    </row>
    <row r="33" spans="2:21" x14ac:dyDescent="0.25">
      <c r="B33" s="190">
        <v>46137</v>
      </c>
      <c r="C33" s="160">
        <v>14</v>
      </c>
      <c r="D33" s="165">
        <v>2739011</v>
      </c>
      <c r="E33" s="165">
        <v>40401</v>
      </c>
      <c r="F33" s="615"/>
      <c r="G33" s="160"/>
      <c r="H33" s="160">
        <f t="shared" si="0"/>
        <v>2779412</v>
      </c>
      <c r="I33" s="165">
        <v>566096</v>
      </c>
      <c r="J33" s="160">
        <f t="shared" si="6"/>
        <v>2213316</v>
      </c>
      <c r="K33" s="160">
        <f t="shared" si="2"/>
        <v>2779412</v>
      </c>
      <c r="L33" s="165">
        <v>256250</v>
      </c>
      <c r="M33" s="160"/>
      <c r="N33" s="160"/>
      <c r="O33" s="160">
        <f t="shared" si="3"/>
        <v>2523162</v>
      </c>
      <c r="P33" s="165">
        <v>738024</v>
      </c>
      <c r="Q33" s="160">
        <f t="shared" si="4"/>
        <v>756948.6</v>
      </c>
      <c r="R33" s="160">
        <f t="shared" si="5"/>
        <v>18924.599999999977</v>
      </c>
      <c r="U33" s="18">
        <v>45</v>
      </c>
    </row>
    <row r="34" spans="2:21" x14ac:dyDescent="0.25">
      <c r="B34" s="190">
        <v>46138</v>
      </c>
      <c r="C34" s="160">
        <v>3</v>
      </c>
      <c r="D34" s="165">
        <v>478740</v>
      </c>
      <c r="E34" s="615"/>
      <c r="F34" s="165"/>
      <c r="G34" s="165"/>
      <c r="H34" s="160">
        <f t="shared" si="0"/>
        <v>478740</v>
      </c>
      <c r="I34" s="165">
        <v>478740</v>
      </c>
      <c r="J34" s="160">
        <f t="shared" si="6"/>
        <v>0</v>
      </c>
      <c r="K34" s="160">
        <f t="shared" si="2"/>
        <v>478740</v>
      </c>
      <c r="L34" s="165">
        <v>17000</v>
      </c>
      <c r="M34" s="160"/>
      <c r="N34" s="160"/>
      <c r="O34" s="160">
        <f t="shared" si="3"/>
        <v>461740</v>
      </c>
      <c r="P34" s="165">
        <v>135058</v>
      </c>
      <c r="Q34" s="160">
        <f t="shared" si="4"/>
        <v>138522</v>
      </c>
      <c r="R34" s="160">
        <f t="shared" si="5"/>
        <v>3464</v>
      </c>
      <c r="U34" s="18">
        <f>U31*U32*U33</f>
        <v>101250</v>
      </c>
    </row>
    <row r="35" spans="2:21" x14ac:dyDescent="0.25">
      <c r="B35" s="190">
        <v>46139</v>
      </c>
      <c r="C35" s="160">
        <v>10</v>
      </c>
      <c r="D35" s="165">
        <v>934853</v>
      </c>
      <c r="E35" s="165"/>
      <c r="F35" s="165">
        <v>33330</v>
      </c>
      <c r="G35" s="165"/>
      <c r="H35" s="160">
        <f t="shared" si="0"/>
        <v>968183</v>
      </c>
      <c r="I35" s="165">
        <v>623570</v>
      </c>
      <c r="J35" s="160">
        <f t="shared" si="6"/>
        <v>344613</v>
      </c>
      <c r="K35" s="160">
        <f t="shared" si="2"/>
        <v>968183</v>
      </c>
      <c r="L35" s="165">
        <v>53750</v>
      </c>
      <c r="M35" s="160"/>
      <c r="N35" s="165"/>
      <c r="O35" s="160">
        <f t="shared" si="3"/>
        <v>914433</v>
      </c>
      <c r="P35" s="165">
        <v>261021</v>
      </c>
      <c r="Q35" s="160">
        <f t="shared" si="4"/>
        <v>274329.89999999997</v>
      </c>
      <c r="R35" s="160">
        <f t="shared" si="5"/>
        <v>13308.899999999965</v>
      </c>
      <c r="U35" s="18">
        <f>U34/5000</f>
        <v>20.25</v>
      </c>
    </row>
    <row r="36" spans="2:21" x14ac:dyDescent="0.25">
      <c r="B36" s="190">
        <v>46140</v>
      </c>
      <c r="C36" s="160">
        <v>19</v>
      </c>
      <c r="D36" s="165">
        <v>845745</v>
      </c>
      <c r="E36" s="165">
        <v>739980</v>
      </c>
      <c r="F36" s="165">
        <v>53328</v>
      </c>
      <c r="G36" s="615"/>
      <c r="H36" s="160">
        <f t="shared" si="0"/>
        <v>1639053</v>
      </c>
      <c r="I36" s="165">
        <v>1586534</v>
      </c>
      <c r="J36" s="160">
        <f t="shared" si="6"/>
        <v>52519</v>
      </c>
      <c r="K36" s="160">
        <f t="shared" si="2"/>
        <v>1639053</v>
      </c>
      <c r="L36" s="165">
        <v>54500</v>
      </c>
      <c r="M36" s="160"/>
      <c r="N36" s="160">
        <v>37440</v>
      </c>
      <c r="O36" s="160">
        <f t="shared" si="3"/>
        <v>1547113</v>
      </c>
      <c r="P36" s="165">
        <v>442229</v>
      </c>
      <c r="Q36" s="160">
        <f t="shared" si="4"/>
        <v>464133.89999999997</v>
      </c>
      <c r="R36" s="160">
        <f t="shared" si="5"/>
        <v>21904.899999999965</v>
      </c>
      <c r="U36" s="18">
        <v>2828</v>
      </c>
    </row>
    <row r="37" spans="2:21" x14ac:dyDescent="0.25">
      <c r="B37" s="190">
        <v>46141</v>
      </c>
      <c r="C37" s="239">
        <v>21</v>
      </c>
      <c r="D37" s="165">
        <v>1329730</v>
      </c>
      <c r="E37" s="165">
        <v>1595608</v>
      </c>
      <c r="F37" s="165">
        <v>155540</v>
      </c>
      <c r="G37" s="615"/>
      <c r="H37" s="160">
        <f t="shared" si="0"/>
        <v>3080878</v>
      </c>
      <c r="I37" s="165">
        <v>2646210</v>
      </c>
      <c r="J37" s="160">
        <f t="shared" si="6"/>
        <v>434668</v>
      </c>
      <c r="K37" s="160">
        <f t="shared" si="2"/>
        <v>3080878</v>
      </c>
      <c r="L37" s="165">
        <v>96750</v>
      </c>
      <c r="M37" s="160"/>
      <c r="N37" s="160">
        <v>3600</v>
      </c>
      <c r="O37" s="160">
        <f t="shared" si="3"/>
        <v>2980528</v>
      </c>
      <c r="P37" s="165">
        <v>841717</v>
      </c>
      <c r="Q37" s="160">
        <f t="shared" si="4"/>
        <v>894158.4</v>
      </c>
      <c r="R37" s="160">
        <f t="shared" si="5"/>
        <v>52441.400000000023</v>
      </c>
      <c r="U37" s="18">
        <f>U35*U36</f>
        <v>57267</v>
      </c>
    </row>
    <row r="38" spans="2:21" x14ac:dyDescent="0.25">
      <c r="B38" s="190">
        <v>46142</v>
      </c>
      <c r="C38" s="160">
        <v>22</v>
      </c>
      <c r="D38" s="165">
        <v>4049787</v>
      </c>
      <c r="E38" s="165">
        <v>414502</v>
      </c>
      <c r="F38" s="165">
        <v>28275</v>
      </c>
      <c r="G38" s="165">
        <v>1451450</v>
      </c>
      <c r="H38" s="160">
        <f t="shared" si="0"/>
        <v>5944014</v>
      </c>
      <c r="I38" s="165">
        <v>5842407</v>
      </c>
      <c r="J38" s="160">
        <f t="shared" si="6"/>
        <v>101607</v>
      </c>
      <c r="K38" s="160">
        <f t="shared" si="2"/>
        <v>5944014</v>
      </c>
      <c r="L38" s="165">
        <v>365250</v>
      </c>
      <c r="M38" s="160">
        <v>50000</v>
      </c>
      <c r="N38" s="165"/>
      <c r="O38" s="160">
        <f t="shared" si="3"/>
        <v>5528764</v>
      </c>
      <c r="P38" s="165">
        <v>1611698</v>
      </c>
      <c r="Q38" s="160">
        <f t="shared" si="4"/>
        <v>1658629.2</v>
      </c>
      <c r="R38" s="160">
        <f t="shared" si="5"/>
        <v>46931.199999999953</v>
      </c>
    </row>
    <row r="39" spans="2:21" ht="15.75" thickBot="1" x14ac:dyDescent="0.3">
      <c r="B39" s="737"/>
      <c r="C39" s="160"/>
      <c r="D39" s="165"/>
      <c r="E39" s="160"/>
      <c r="F39" s="165"/>
      <c r="G39" s="165"/>
      <c r="H39" s="160">
        <f t="shared" si="0"/>
        <v>0</v>
      </c>
      <c r="I39" s="227"/>
      <c r="J39" s="160">
        <f t="shared" si="6"/>
        <v>0</v>
      </c>
      <c r="K39" s="160">
        <f t="shared" si="2"/>
        <v>0</v>
      </c>
      <c r="L39" s="165"/>
      <c r="M39" s="160"/>
      <c r="N39" s="160"/>
      <c r="O39" s="160">
        <f t="shared" si="3"/>
        <v>0</v>
      </c>
      <c r="P39" s="165"/>
      <c r="Q39" s="239">
        <f t="shared" si="4"/>
        <v>0</v>
      </c>
      <c r="R39" s="160">
        <f t="shared" si="5"/>
        <v>0</v>
      </c>
    </row>
    <row r="40" spans="2:21" ht="15.75" thickBot="1" x14ac:dyDescent="0.3">
      <c r="C40" s="242">
        <f>SUM(C9:C39)</f>
        <v>462</v>
      </c>
      <c r="D40" s="242">
        <f t="shared" ref="D40:J40" si="7">SUM(D9:D39)</f>
        <v>53840958</v>
      </c>
      <c r="E40" s="242">
        <f t="shared" si="7"/>
        <v>9263230</v>
      </c>
      <c r="F40" s="242">
        <f t="shared" si="7"/>
        <v>3832284</v>
      </c>
      <c r="G40" s="242">
        <f t="shared" si="7"/>
        <v>30124115</v>
      </c>
      <c r="H40" s="242">
        <f t="shared" si="7"/>
        <v>97060587</v>
      </c>
      <c r="I40" s="242">
        <f t="shared" si="7"/>
        <v>85727119</v>
      </c>
      <c r="J40" s="242">
        <f t="shared" si="7"/>
        <v>11333468</v>
      </c>
      <c r="K40" s="242">
        <f t="shared" ref="K40:R40" si="8">SUM(K9:K39)</f>
        <v>97060587</v>
      </c>
      <c r="L40" s="242">
        <f t="shared" si="8"/>
        <v>4145750</v>
      </c>
      <c r="M40" s="242">
        <f t="shared" si="8"/>
        <v>850000</v>
      </c>
      <c r="N40" s="242">
        <f t="shared" si="8"/>
        <v>1798604</v>
      </c>
      <c r="O40" s="242">
        <f t="shared" si="8"/>
        <v>90266233</v>
      </c>
      <c r="P40" s="243">
        <f t="shared" si="8"/>
        <v>25662240</v>
      </c>
      <c r="Q40" s="12">
        <f t="shared" si="8"/>
        <v>27079869.899999991</v>
      </c>
      <c r="R40" s="12">
        <f t="shared" si="8"/>
        <v>1417629.8999999987</v>
      </c>
    </row>
    <row r="42" spans="2:21" ht="15.75" thickBot="1" x14ac:dyDescent="0.3"/>
    <row r="43" spans="2:21" ht="15.75" thickBot="1" x14ac:dyDescent="0.3">
      <c r="B43" s="103" t="s">
        <v>490</v>
      </c>
      <c r="C43" s="201"/>
      <c r="D43" s="201"/>
      <c r="E43" s="202"/>
      <c r="F43" s="203" t="s">
        <v>229</v>
      </c>
      <c r="I43" s="178" t="s">
        <v>499</v>
      </c>
      <c r="J43" s="179"/>
      <c r="K43" s="186">
        <f>P40</f>
        <v>25662240</v>
      </c>
      <c r="N43" t="s">
        <v>1127</v>
      </c>
    </row>
    <row r="44" spans="2:21" ht="15.75" thickBot="1" x14ac:dyDescent="0.3">
      <c r="B44" s="182" t="s">
        <v>491</v>
      </c>
      <c r="C44" s="183"/>
      <c r="D44" s="183"/>
      <c r="E44" s="181"/>
      <c r="F44" s="90">
        <v>100000</v>
      </c>
      <c r="I44" s="178" t="s">
        <v>500</v>
      </c>
      <c r="J44" s="179"/>
      <c r="K44" s="186">
        <f>F61</f>
        <v>7269921</v>
      </c>
      <c r="N44" t="s">
        <v>1128</v>
      </c>
    </row>
    <row r="45" spans="2:21" ht="15.75" thickBot="1" x14ac:dyDescent="0.3">
      <c r="B45" s="21" t="s">
        <v>492</v>
      </c>
      <c r="C45" s="180"/>
      <c r="D45" s="180"/>
      <c r="E45" s="19"/>
      <c r="F45" s="3"/>
      <c r="K45" s="12">
        <f>K43-K44</f>
        <v>18392319</v>
      </c>
      <c r="N45" t="s">
        <v>1129</v>
      </c>
    </row>
    <row r="46" spans="2:21" ht="15.75" thickBot="1" x14ac:dyDescent="0.3">
      <c r="B46" s="21" t="s">
        <v>493</v>
      </c>
      <c r="C46" s="180"/>
      <c r="D46" s="180"/>
      <c r="E46" s="19"/>
      <c r="F46" s="3"/>
      <c r="N46" t="s">
        <v>1130</v>
      </c>
    </row>
    <row r="47" spans="2:21" ht="15.75" thickBot="1" x14ac:dyDescent="0.3">
      <c r="B47" t="s">
        <v>494</v>
      </c>
      <c r="E47" s="19"/>
      <c r="F47" s="3"/>
      <c r="I47" s="178" t="s">
        <v>502</v>
      </c>
      <c r="J47" s="179"/>
      <c r="K47" s="177">
        <v>100000000</v>
      </c>
    </row>
    <row r="48" spans="2:21" ht="15.75" thickBot="1" x14ac:dyDescent="0.3">
      <c r="B48" s="21" t="s">
        <v>495</v>
      </c>
      <c r="C48" s="180"/>
      <c r="D48" s="180"/>
      <c r="E48" s="19"/>
      <c r="F48" s="3">
        <v>493550</v>
      </c>
      <c r="I48" s="178" t="s">
        <v>503</v>
      </c>
      <c r="J48" s="179"/>
      <c r="K48" s="361">
        <f>O40</f>
        <v>90266233</v>
      </c>
    </row>
    <row r="49" spans="2:17" ht="15.75" thickBot="1" x14ac:dyDescent="0.3">
      <c r="B49" s="21" t="s">
        <v>496</v>
      </c>
      <c r="C49" s="180"/>
      <c r="D49" s="180"/>
      <c r="E49" s="19"/>
      <c r="F49" s="3">
        <v>252550</v>
      </c>
      <c r="K49" s="187">
        <f>K48/K47</f>
        <v>0.90266232999999996</v>
      </c>
    </row>
    <row r="50" spans="2:17" x14ac:dyDescent="0.25">
      <c r="B50" s="21" t="s">
        <v>497</v>
      </c>
      <c r="C50" s="180"/>
      <c r="D50" s="180"/>
      <c r="E50" s="19"/>
      <c r="F50" s="3">
        <v>336888</v>
      </c>
    </row>
    <row r="51" spans="2:17" x14ac:dyDescent="0.25">
      <c r="B51" s="21" t="s">
        <v>1140</v>
      </c>
      <c r="C51" s="180"/>
      <c r="D51" s="180"/>
      <c r="E51" s="19"/>
      <c r="F51" s="3">
        <f>60000+25000+35000+50000</f>
        <v>170000</v>
      </c>
    </row>
    <row r="52" spans="2:17" ht="15.75" thickBot="1" x14ac:dyDescent="0.3">
      <c r="B52" s="21" t="s">
        <v>501</v>
      </c>
      <c r="C52" s="180"/>
      <c r="D52" s="180"/>
      <c r="E52" s="19"/>
      <c r="F52" s="3">
        <v>3300000</v>
      </c>
      <c r="I52" s="846" t="s">
        <v>1122</v>
      </c>
      <c r="L52" t="s">
        <v>1131</v>
      </c>
      <c r="M52" t="s">
        <v>1132</v>
      </c>
    </row>
    <row r="53" spans="2:17" ht="15.75" thickBot="1" x14ac:dyDescent="0.3">
      <c r="B53" s="21" t="s">
        <v>1141</v>
      </c>
      <c r="C53" s="180"/>
      <c r="D53" s="180"/>
      <c r="E53" s="19"/>
      <c r="F53" s="3">
        <f>120000+140000+120000</f>
        <v>380000</v>
      </c>
      <c r="I53" t="s">
        <v>1123</v>
      </c>
      <c r="K53" s="18">
        <v>11992713</v>
      </c>
      <c r="L53" s="848">
        <v>15000000</v>
      </c>
      <c r="M53" s="850">
        <f>K53/L53*100%</f>
        <v>0.79951419999999995</v>
      </c>
    </row>
    <row r="54" spans="2:17" ht="15.75" thickBot="1" x14ac:dyDescent="0.3">
      <c r="B54" s="21" t="s">
        <v>1134</v>
      </c>
      <c r="C54" s="180"/>
      <c r="D54" s="180"/>
      <c r="E54" s="19"/>
      <c r="F54" s="4">
        <f>28000+11800+14300</f>
        <v>54100</v>
      </c>
      <c r="I54" t="s">
        <v>1124</v>
      </c>
      <c r="K54" s="5">
        <f>K48-K53</f>
        <v>78273520</v>
      </c>
      <c r="L54" s="114">
        <v>85000000</v>
      </c>
      <c r="M54" s="850">
        <f t="shared" ref="M54:M55" si="9">K54/L54*100%</f>
        <v>0.92086494117647055</v>
      </c>
    </row>
    <row r="55" spans="2:17" ht="15.75" thickBot="1" x14ac:dyDescent="0.3">
      <c r="B55" s="21" t="s">
        <v>1147</v>
      </c>
      <c r="C55" s="180"/>
      <c r="D55" s="180"/>
      <c r="E55" s="19"/>
      <c r="F55" s="1006">
        <v>12000</v>
      </c>
      <c r="K55" s="847">
        <f>K53+K54</f>
        <v>90266233</v>
      </c>
      <c r="L55" s="849">
        <f>L53+L54</f>
        <v>100000000</v>
      </c>
      <c r="M55" s="850">
        <f t="shared" si="9"/>
        <v>0.90266232999999996</v>
      </c>
    </row>
    <row r="56" spans="2:17" x14ac:dyDescent="0.25">
      <c r="B56" s="21" t="s">
        <v>1152</v>
      </c>
      <c r="C56" s="180"/>
      <c r="D56" s="180"/>
      <c r="E56" s="19"/>
      <c r="F56" s="1006">
        <f>8000+35000+65000+297833+65000</f>
        <v>470833</v>
      </c>
      <c r="K56" s="5"/>
      <c r="P56">
        <v>20000000</v>
      </c>
      <c r="Q56">
        <f>P56/26</f>
        <v>769230.76923076925</v>
      </c>
    </row>
    <row r="57" spans="2:17" x14ac:dyDescent="0.25">
      <c r="B57" s="21" t="s">
        <v>1164</v>
      </c>
      <c r="C57" s="180"/>
      <c r="D57" s="180"/>
      <c r="E57" s="19"/>
      <c r="F57" s="3">
        <v>100000</v>
      </c>
      <c r="P57">
        <v>85000000</v>
      </c>
      <c r="Q57">
        <f>P57/30</f>
        <v>2833333.3333333335</v>
      </c>
    </row>
    <row r="58" spans="2:17" x14ac:dyDescent="0.25">
      <c r="B58" s="21" t="s">
        <v>1168</v>
      </c>
      <c r="C58" s="180"/>
      <c r="D58" s="180"/>
      <c r="E58" s="19"/>
      <c r="F58" s="3">
        <v>1600000</v>
      </c>
      <c r="I58" t="s">
        <v>1125</v>
      </c>
      <c r="K58" s="5">
        <f>K53*28%</f>
        <v>3357959.64</v>
      </c>
    </row>
    <row r="59" spans="2:17" ht="15.75" thickBot="1" x14ac:dyDescent="0.3">
      <c r="B59" s="21" t="s">
        <v>1180</v>
      </c>
      <c r="C59" s="180"/>
      <c r="D59" s="180"/>
      <c r="E59" s="19"/>
      <c r="F59" s="4"/>
      <c r="I59" t="s">
        <v>1126</v>
      </c>
      <c r="K59" s="5">
        <f>P40-K58</f>
        <v>22304280.359999999</v>
      </c>
    </row>
    <row r="60" spans="2:17" ht="15.75" thickBot="1" x14ac:dyDescent="0.3">
      <c r="K60" s="186">
        <f>K58+K59</f>
        <v>25662240</v>
      </c>
    </row>
    <row r="61" spans="2:17" ht="15.75" thickBot="1" x14ac:dyDescent="0.3">
      <c r="F61" s="177">
        <f>SUM(F44:F60)</f>
        <v>7269921</v>
      </c>
    </row>
    <row r="63" spans="2:17" x14ac:dyDescent="0.25">
      <c r="B63" t="s">
        <v>1133</v>
      </c>
      <c r="H63" t="s">
        <v>1169</v>
      </c>
      <c r="K63" s="5">
        <f>K43</f>
        <v>25662240</v>
      </c>
    </row>
    <row r="64" spans="2:17" x14ac:dyDescent="0.25">
      <c r="B64" s="147" t="s">
        <v>1135</v>
      </c>
      <c r="C64" s="364"/>
      <c r="D64" s="61" t="s">
        <v>1136</v>
      </c>
      <c r="E64" s="285" t="s">
        <v>1137</v>
      </c>
      <c r="H64" t="s">
        <v>1170</v>
      </c>
      <c r="K64" s="5">
        <f>E97</f>
        <v>1116000</v>
      </c>
    </row>
    <row r="65" spans="2:11" ht="15.75" thickBot="1" x14ac:dyDescent="0.3">
      <c r="B65" s="21" t="s">
        <v>1138</v>
      </c>
      <c r="C65" s="19"/>
      <c r="D65" s="3">
        <v>70000</v>
      </c>
      <c r="E65" s="3"/>
      <c r="H65" t="s">
        <v>1171</v>
      </c>
      <c r="K65" s="5">
        <f>E103</f>
        <v>3456000</v>
      </c>
    </row>
    <row r="66" spans="2:11" ht="15.75" thickBot="1" x14ac:dyDescent="0.3">
      <c r="B66" s="21" t="s">
        <v>1139</v>
      </c>
      <c r="C66" s="19"/>
      <c r="D66" s="3">
        <v>30000</v>
      </c>
      <c r="E66" s="3"/>
      <c r="H66" t="s">
        <v>1128</v>
      </c>
      <c r="K66" s="186">
        <f>SUM(K63:K65)</f>
        <v>30234240</v>
      </c>
    </row>
    <row r="67" spans="2:11" x14ac:dyDescent="0.25">
      <c r="B67" s="21" t="s">
        <v>1142</v>
      </c>
      <c r="C67" s="19"/>
      <c r="D67" s="3"/>
      <c r="E67" s="3">
        <v>30000</v>
      </c>
    </row>
    <row r="68" spans="2:11" x14ac:dyDescent="0.25">
      <c r="B68" s="21" t="s">
        <v>1143</v>
      </c>
      <c r="C68" s="19"/>
      <c r="D68" s="3"/>
      <c r="E68" s="3">
        <v>10000</v>
      </c>
      <c r="H68" t="s">
        <v>1175</v>
      </c>
    </row>
    <row r="69" spans="2:11" x14ac:dyDescent="0.25">
      <c r="B69" s="21" t="s">
        <v>1144</v>
      </c>
      <c r="C69" s="19"/>
      <c r="D69" s="3"/>
      <c r="E69" s="3">
        <v>20000</v>
      </c>
      <c r="H69" t="s">
        <v>1176</v>
      </c>
      <c r="K69" s="5">
        <f>F61</f>
        <v>7269921</v>
      </c>
    </row>
    <row r="70" spans="2:11" x14ac:dyDescent="0.25">
      <c r="B70" s="21" t="s">
        <v>1145</v>
      </c>
      <c r="C70" s="19"/>
      <c r="D70" s="3"/>
      <c r="E70" s="3">
        <v>30000</v>
      </c>
      <c r="H70" t="s">
        <v>1177</v>
      </c>
      <c r="K70" s="5">
        <f>D97</f>
        <v>391000</v>
      </c>
    </row>
    <row r="71" spans="2:11" x14ac:dyDescent="0.25">
      <c r="B71" s="21" t="s">
        <v>1146</v>
      </c>
      <c r="C71" s="19"/>
      <c r="D71" s="3"/>
      <c r="E71" s="3">
        <v>20000</v>
      </c>
      <c r="H71" t="s">
        <v>1178</v>
      </c>
      <c r="K71" s="5">
        <f>D103</f>
        <v>1900800.0000000002</v>
      </c>
    </row>
    <row r="72" spans="2:11" ht="15.75" thickBot="1" x14ac:dyDescent="0.3">
      <c r="B72" s="21" t="str">
        <f>B68</f>
        <v>Bubble</v>
      </c>
      <c r="C72" s="19"/>
      <c r="D72" s="3"/>
      <c r="E72" s="3">
        <v>10000</v>
      </c>
      <c r="K72" s="18"/>
    </row>
    <row r="73" spans="2:11" ht="15.75" thickBot="1" x14ac:dyDescent="0.3">
      <c r="B73" s="21" t="s">
        <v>1148</v>
      </c>
      <c r="C73" s="19"/>
      <c r="D73" s="3"/>
      <c r="E73" s="3">
        <v>10000</v>
      </c>
      <c r="H73" t="s">
        <v>1129</v>
      </c>
      <c r="K73" s="186">
        <f>SUM(K69:K72)</f>
        <v>9561721</v>
      </c>
    </row>
    <row r="74" spans="2:11" x14ac:dyDescent="0.25">
      <c r="B74" s="21" t="s">
        <v>1149</v>
      </c>
      <c r="C74" s="19"/>
      <c r="D74" s="3">
        <v>15000</v>
      </c>
      <c r="E74" s="3"/>
    </row>
    <row r="75" spans="2:11" ht="15.75" thickBot="1" x14ac:dyDescent="0.3">
      <c r="B75" s="21" t="s">
        <v>1150</v>
      </c>
      <c r="C75" s="19"/>
      <c r="D75" s="3"/>
      <c r="E75" s="3">
        <v>120000</v>
      </c>
    </row>
    <row r="76" spans="2:11" ht="15.75" thickBot="1" x14ac:dyDescent="0.3">
      <c r="B76" s="21" t="s">
        <v>1151</v>
      </c>
      <c r="C76" s="19"/>
      <c r="D76" s="3">
        <v>35000</v>
      </c>
      <c r="E76" s="3"/>
      <c r="H76" t="s">
        <v>1179</v>
      </c>
      <c r="K76" s="186">
        <f>K66-K73</f>
        <v>20672519</v>
      </c>
    </row>
    <row r="77" spans="2:11" x14ac:dyDescent="0.25">
      <c r="B77" s="21" t="s">
        <v>1153</v>
      </c>
      <c r="C77" s="19"/>
      <c r="D77" s="3"/>
      <c r="E77" s="3">
        <v>20000</v>
      </c>
    </row>
    <row r="78" spans="2:11" x14ac:dyDescent="0.25">
      <c r="B78" s="21" t="s">
        <v>1154</v>
      </c>
      <c r="C78" s="19"/>
      <c r="D78" s="3"/>
      <c r="E78" s="3">
        <v>16000</v>
      </c>
    </row>
    <row r="79" spans="2:11" x14ac:dyDescent="0.25">
      <c r="B79" s="21" t="s">
        <v>1155</v>
      </c>
      <c r="C79" s="19"/>
      <c r="D79" s="3"/>
      <c r="E79" s="3">
        <v>15000</v>
      </c>
    </row>
    <row r="80" spans="2:11" x14ac:dyDescent="0.25">
      <c r="B80" s="21" t="s">
        <v>1156</v>
      </c>
      <c r="C80" s="19"/>
      <c r="D80" s="3"/>
      <c r="E80" s="3">
        <v>250000</v>
      </c>
    </row>
    <row r="81" spans="2:5" x14ac:dyDescent="0.25">
      <c r="B81" s="21" t="s">
        <v>1157</v>
      </c>
      <c r="C81" s="19"/>
      <c r="D81" s="3">
        <v>50000</v>
      </c>
      <c r="E81" s="3"/>
    </row>
    <row r="82" spans="2:5" x14ac:dyDescent="0.25">
      <c r="B82" s="21" t="s">
        <v>1158</v>
      </c>
      <c r="C82" s="19"/>
      <c r="D82" s="3">
        <v>135000</v>
      </c>
      <c r="E82" s="3"/>
    </row>
    <row r="83" spans="2:5" x14ac:dyDescent="0.25">
      <c r="B83" s="21" t="s">
        <v>1159</v>
      </c>
      <c r="C83" s="19"/>
      <c r="D83" s="3"/>
      <c r="E83" s="3">
        <v>50000</v>
      </c>
    </row>
    <row r="84" spans="2:5" x14ac:dyDescent="0.25">
      <c r="B84" s="21" t="s">
        <v>1160</v>
      </c>
      <c r="C84" s="19"/>
      <c r="D84" s="3"/>
      <c r="E84" s="3">
        <v>85000</v>
      </c>
    </row>
    <row r="85" spans="2:5" x14ac:dyDescent="0.25">
      <c r="B85" s="21" t="s">
        <v>1161</v>
      </c>
      <c r="C85" s="19"/>
      <c r="D85" s="3">
        <v>25000</v>
      </c>
      <c r="E85" s="3"/>
    </row>
    <row r="86" spans="2:5" x14ac:dyDescent="0.25">
      <c r="B86" s="21" t="s">
        <v>1162</v>
      </c>
      <c r="C86" s="19"/>
      <c r="D86" s="3"/>
      <c r="E86" s="3">
        <v>25000</v>
      </c>
    </row>
    <row r="87" spans="2:5" x14ac:dyDescent="0.25">
      <c r="B87" s="21" t="s">
        <v>1163</v>
      </c>
      <c r="C87" s="19"/>
      <c r="D87" s="3">
        <v>10000</v>
      </c>
      <c r="E87" s="3"/>
    </row>
    <row r="88" spans="2:5" x14ac:dyDescent="0.25">
      <c r="B88" s="21" t="s">
        <v>1155</v>
      </c>
      <c r="C88" s="19"/>
      <c r="D88" s="3"/>
      <c r="E88" s="3">
        <v>25000</v>
      </c>
    </row>
    <row r="89" spans="2:5" x14ac:dyDescent="0.25">
      <c r="B89" s="21" t="s">
        <v>1155</v>
      </c>
      <c r="C89" s="19"/>
      <c r="D89" s="3"/>
      <c r="E89" s="3">
        <v>30000</v>
      </c>
    </row>
    <row r="90" spans="2:5" x14ac:dyDescent="0.25">
      <c r="B90" s="21" t="s">
        <v>1163</v>
      </c>
      <c r="C90" s="19"/>
      <c r="D90" s="3">
        <v>11000</v>
      </c>
      <c r="E90" s="3"/>
    </row>
    <row r="91" spans="2:5" x14ac:dyDescent="0.25">
      <c r="B91" s="21" t="s">
        <v>1165</v>
      </c>
      <c r="C91" s="19"/>
      <c r="D91" s="3"/>
      <c r="E91" s="3">
        <v>30000</v>
      </c>
    </row>
    <row r="92" spans="2:5" x14ac:dyDescent="0.25">
      <c r="B92" s="21" t="s">
        <v>1163</v>
      </c>
      <c r="C92" s="19"/>
      <c r="D92" s="3">
        <v>6000</v>
      </c>
      <c r="E92" s="3"/>
    </row>
    <row r="93" spans="2:5" x14ac:dyDescent="0.25">
      <c r="B93" s="21" t="s">
        <v>1155</v>
      </c>
      <c r="C93" s="19"/>
      <c r="D93" s="3"/>
      <c r="E93" s="3">
        <v>20000</v>
      </c>
    </row>
    <row r="94" spans="2:5" x14ac:dyDescent="0.25">
      <c r="B94" s="21" t="s">
        <v>1161</v>
      </c>
      <c r="C94" s="19"/>
      <c r="D94" s="3">
        <v>4000</v>
      </c>
      <c r="E94" s="3"/>
    </row>
    <row r="95" spans="2:5" x14ac:dyDescent="0.25">
      <c r="B95" s="21" t="s">
        <v>1166</v>
      </c>
      <c r="C95" s="19"/>
      <c r="D95" s="3"/>
      <c r="E95" s="3">
        <v>50000</v>
      </c>
    </row>
    <row r="96" spans="2:5" ht="15.75" thickBot="1" x14ac:dyDescent="0.3">
      <c r="B96" s="21" t="s">
        <v>1173</v>
      </c>
      <c r="C96" s="19"/>
      <c r="D96" s="853"/>
      <c r="E96" s="185">
        <f>100000+100000+50000</f>
        <v>250000</v>
      </c>
    </row>
    <row r="97" spans="2:5" ht="15.75" thickBot="1" x14ac:dyDescent="0.3">
      <c r="D97" s="852">
        <f>SUM(D65:D96)</f>
        <v>391000</v>
      </c>
      <c r="E97" s="497">
        <f>SUM(E65:E96)</f>
        <v>1116000</v>
      </c>
    </row>
    <row r="98" spans="2:5" ht="15.75" thickBot="1" x14ac:dyDescent="0.3">
      <c r="B98" t="s">
        <v>1167</v>
      </c>
      <c r="E98" s="851">
        <f>E97-D97</f>
        <v>725000</v>
      </c>
    </row>
    <row r="101" spans="2:5" x14ac:dyDescent="0.25">
      <c r="B101" t="s">
        <v>1172</v>
      </c>
    </row>
    <row r="102" spans="2:5" x14ac:dyDescent="0.25">
      <c r="B102" s="147" t="s">
        <v>1135</v>
      </c>
      <c r="C102" s="364"/>
      <c r="D102" s="61" t="s">
        <v>1136</v>
      </c>
      <c r="E102" s="285" t="s">
        <v>1137</v>
      </c>
    </row>
    <row r="103" spans="2:5" ht="15.75" thickBot="1" x14ac:dyDescent="0.3">
      <c r="B103" s="21" t="s">
        <v>1174</v>
      </c>
      <c r="C103" s="19"/>
      <c r="D103" s="3">
        <f>E103*55%</f>
        <v>1900800.0000000002</v>
      </c>
      <c r="E103" s="185">
        <f>86000+175000+87000+92000+200000+86000+92000+144000+106000+86000+139000+86000+107000+86000+264000+309000+186000+86000+130000+104000+E106</f>
        <v>3456000</v>
      </c>
    </row>
    <row r="104" spans="2:5" ht="15.75" thickBot="1" x14ac:dyDescent="0.3">
      <c r="E104" s="497">
        <f>E103-D103</f>
        <v>1555199.9999999998</v>
      </c>
    </row>
    <row r="106" spans="2:5" x14ac:dyDescent="0.25">
      <c r="B106" t="s">
        <v>1181</v>
      </c>
      <c r="E106" s="18">
        <f>150000+70000+195000+390000</f>
        <v>805000</v>
      </c>
    </row>
  </sheetData>
  <mergeCells count="14">
    <mergeCell ref="N7:N8"/>
    <mergeCell ref="O7:O8"/>
    <mergeCell ref="P7:P8"/>
    <mergeCell ref="R7:R8"/>
    <mergeCell ref="A6:R6"/>
    <mergeCell ref="B7:B8"/>
    <mergeCell ref="C7:C8"/>
    <mergeCell ref="D7:G7"/>
    <mergeCell ref="H7:H8"/>
    <mergeCell ref="I7:I8"/>
    <mergeCell ref="J7:J8"/>
    <mergeCell ref="K7:K8"/>
    <mergeCell ref="L7:L8"/>
    <mergeCell ref="M7:M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6024E-2CD5-427A-9950-7B5C55EB501C}">
  <dimension ref="A2:R82"/>
  <sheetViews>
    <sheetView tabSelected="1" workbookViewId="0">
      <selection activeCell="C9" sqref="C9"/>
    </sheetView>
  </sheetViews>
  <sheetFormatPr defaultRowHeight="15" x14ac:dyDescent="0.25"/>
  <cols>
    <col min="1" max="1" width="2.85546875" customWidth="1"/>
    <col min="2" max="2" width="12.28515625" customWidth="1"/>
    <col min="3" max="3" width="8.7109375" customWidth="1"/>
    <col min="4" max="4" width="12.7109375" customWidth="1"/>
    <col min="5" max="6" width="12" customWidth="1"/>
    <col min="7" max="7" width="13.5703125" customWidth="1"/>
    <col min="8" max="8" width="13.140625" customWidth="1"/>
    <col min="9" max="9" width="12.7109375" customWidth="1"/>
    <col min="10" max="10" width="12.140625" customWidth="1"/>
    <col min="11" max="11" width="14.42578125" customWidth="1"/>
    <col min="12" max="12" width="12.7109375" customWidth="1"/>
    <col min="13" max="13" width="11" customWidth="1"/>
    <col min="14" max="15" width="11.7109375" customWidth="1"/>
    <col min="16" max="16" width="13.42578125" customWidth="1"/>
    <col min="17" max="17" width="14" customWidth="1"/>
    <col min="18" max="18" width="13.42578125" customWidth="1"/>
  </cols>
  <sheetData>
    <row r="2" spans="1:18" ht="15.75" thickBot="1" x14ac:dyDescent="0.3"/>
    <row r="3" spans="1:18" ht="19.5" thickBot="1" x14ac:dyDescent="0.35">
      <c r="A3" s="350" t="s">
        <v>505</v>
      </c>
      <c r="B3" s="351"/>
      <c r="C3" s="352"/>
      <c r="D3" s="350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2"/>
    </row>
    <row r="4" spans="1:18" ht="15.75" thickBot="1" x14ac:dyDescent="0.3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</row>
    <row r="5" spans="1:18" ht="16.5" thickBot="1" x14ac:dyDescent="0.3">
      <c r="A5" s="1202" t="s">
        <v>1339</v>
      </c>
      <c r="B5" s="1203"/>
      <c r="C5" s="1203"/>
      <c r="D5" s="1203"/>
      <c r="E5" s="1203"/>
      <c r="F5" s="1203"/>
      <c r="G5" s="1203"/>
      <c r="H5" s="1203"/>
      <c r="I5" s="1203"/>
      <c r="J5" s="1203"/>
      <c r="K5" s="1203"/>
      <c r="L5" s="1203"/>
      <c r="M5" s="1203"/>
      <c r="N5" s="1203"/>
      <c r="O5" s="1203"/>
      <c r="P5" s="1203"/>
      <c r="Q5" s="1203"/>
      <c r="R5" s="1204"/>
    </row>
    <row r="6" spans="1:18" ht="15.75" thickBot="1" x14ac:dyDescent="0.3">
      <c r="B6" s="1206" t="s">
        <v>0</v>
      </c>
      <c r="C6" s="1191" t="s">
        <v>1</v>
      </c>
      <c r="D6" s="1208" t="s">
        <v>2</v>
      </c>
      <c r="E6" s="1209"/>
      <c r="F6" s="1209"/>
      <c r="G6" s="1210"/>
      <c r="H6" s="1191" t="s">
        <v>3</v>
      </c>
      <c r="I6" s="1191" t="s">
        <v>4</v>
      </c>
      <c r="J6" s="1191" t="s">
        <v>5</v>
      </c>
      <c r="K6" s="1189" t="s">
        <v>6</v>
      </c>
      <c r="L6" s="1189" t="s">
        <v>7</v>
      </c>
      <c r="M6" s="1189" t="s">
        <v>8</v>
      </c>
      <c r="N6" s="1189" t="s">
        <v>9</v>
      </c>
      <c r="O6" s="1189" t="s">
        <v>10</v>
      </c>
      <c r="P6" s="1189" t="s">
        <v>386</v>
      </c>
      <c r="Q6" s="739" t="s">
        <v>11</v>
      </c>
      <c r="R6" s="1200" t="s">
        <v>387</v>
      </c>
    </row>
    <row r="7" spans="1:18" ht="15.75" thickBot="1" x14ac:dyDescent="0.3">
      <c r="B7" s="1190"/>
      <c r="C7" s="1215"/>
      <c r="D7" s="676" t="s">
        <v>13</v>
      </c>
      <c r="E7" s="677" t="s">
        <v>14</v>
      </c>
      <c r="F7" s="676" t="s">
        <v>15</v>
      </c>
      <c r="G7" s="676" t="s">
        <v>16</v>
      </c>
      <c r="H7" s="1215"/>
      <c r="I7" s="1215"/>
      <c r="J7" s="1215"/>
      <c r="K7" s="1213"/>
      <c r="L7" s="1213"/>
      <c r="M7" s="1213"/>
      <c r="N7" s="1213"/>
      <c r="O7" s="1213"/>
      <c r="P7" s="1213"/>
      <c r="Q7" s="1020">
        <v>0.3</v>
      </c>
      <c r="R7" s="1201"/>
    </row>
    <row r="8" spans="1:18" x14ac:dyDescent="0.25">
      <c r="B8" s="1022">
        <v>46143</v>
      </c>
      <c r="C8" s="1024"/>
      <c r="D8" s="148">
        <v>0</v>
      </c>
      <c r="E8" s="148">
        <v>0</v>
      </c>
      <c r="F8" s="148"/>
      <c r="G8" s="227"/>
      <c r="H8" s="227">
        <f>+D8+E8+F8+G8</f>
        <v>0</v>
      </c>
      <c r="I8" s="148">
        <v>0</v>
      </c>
      <c r="J8" s="227">
        <f>+H8-I8</f>
        <v>0</v>
      </c>
      <c r="K8" s="227">
        <f>+I8+J8</f>
        <v>0</v>
      </c>
      <c r="L8" s="148">
        <v>0</v>
      </c>
      <c r="M8" s="227"/>
      <c r="N8" s="227"/>
      <c r="O8" s="227">
        <f>+K8-L8-M8-N8</f>
        <v>0</v>
      </c>
      <c r="P8" s="148">
        <v>0</v>
      </c>
      <c r="Q8" s="227">
        <f>O8*30%</f>
        <v>0</v>
      </c>
      <c r="R8" s="1025">
        <f>Q8-P8</f>
        <v>0</v>
      </c>
    </row>
    <row r="9" spans="1:18" x14ac:dyDescent="0.25">
      <c r="B9" s="190">
        <v>46144</v>
      </c>
      <c r="C9" s="504">
        <v>6</v>
      </c>
      <c r="D9" s="76">
        <v>1050804</v>
      </c>
      <c r="E9" s="76">
        <v>288456</v>
      </c>
      <c r="F9" s="76"/>
      <c r="G9" s="160"/>
      <c r="H9" s="160">
        <f>+D9+E9+F9+G9</f>
        <v>1339260</v>
      </c>
      <c r="I9" s="76">
        <v>998284</v>
      </c>
      <c r="J9" s="160">
        <f>+H9-I9</f>
        <v>340976</v>
      </c>
      <c r="K9" s="160">
        <f>+I9+J9</f>
        <v>1339260</v>
      </c>
      <c r="L9" s="76">
        <v>108750</v>
      </c>
      <c r="M9" s="160"/>
      <c r="N9" s="160"/>
      <c r="O9" s="160">
        <f>+K9-L9-M9-N9</f>
        <v>1230510</v>
      </c>
      <c r="P9" s="76">
        <v>359924</v>
      </c>
      <c r="Q9" s="160">
        <f>O9*30%</f>
        <v>369153</v>
      </c>
      <c r="R9" s="1016">
        <f>Q9-P9</f>
        <v>9229</v>
      </c>
    </row>
    <row r="10" spans="1:18" x14ac:dyDescent="0.25">
      <c r="B10" s="190">
        <v>46145</v>
      </c>
      <c r="C10" s="504">
        <v>3</v>
      </c>
      <c r="D10" s="76">
        <v>118672</v>
      </c>
      <c r="E10" s="165"/>
      <c r="F10" s="165"/>
      <c r="G10" s="165"/>
      <c r="H10" s="160">
        <f t="shared" ref="H10:H38" si="0">+D10+E10+F10+G10</f>
        <v>118672</v>
      </c>
      <c r="I10" s="76">
        <v>118672</v>
      </c>
      <c r="J10" s="160">
        <f t="shared" ref="J10:J11" si="1">+H10-I10</f>
        <v>0</v>
      </c>
      <c r="K10" s="160">
        <f t="shared" ref="K10:K38" si="2">+I10+J10</f>
        <v>118672</v>
      </c>
      <c r="L10" s="76">
        <v>4500</v>
      </c>
      <c r="M10" s="160"/>
      <c r="N10" s="160"/>
      <c r="O10" s="160">
        <f t="shared" ref="O10:O38" si="3">+K10-L10-M10-N10</f>
        <v>114172</v>
      </c>
      <c r="P10" s="76">
        <v>33395</v>
      </c>
      <c r="Q10" s="160">
        <f t="shared" ref="Q10:Q38" si="4">O10*30%</f>
        <v>34251.599999999999</v>
      </c>
      <c r="R10" s="1017">
        <f t="shared" ref="R10:R38" si="5">Q10-P10</f>
        <v>856.59999999999854</v>
      </c>
    </row>
    <row r="11" spans="1:18" x14ac:dyDescent="0.25">
      <c r="B11" s="190">
        <v>46146</v>
      </c>
      <c r="C11" s="504">
        <v>21</v>
      </c>
      <c r="D11" s="76">
        <v>1101709</v>
      </c>
      <c r="E11" s="76">
        <v>1472768</v>
      </c>
      <c r="F11" s="76">
        <v>90508</v>
      </c>
      <c r="G11" s="165"/>
      <c r="H11" s="160">
        <f t="shared" si="0"/>
        <v>2664985</v>
      </c>
      <c r="I11" s="76">
        <v>2074336</v>
      </c>
      <c r="J11" s="160">
        <f t="shared" si="1"/>
        <v>590649</v>
      </c>
      <c r="K11" s="160">
        <f t="shared" si="2"/>
        <v>2664985</v>
      </c>
      <c r="L11" s="76">
        <v>87750</v>
      </c>
      <c r="M11" s="160"/>
      <c r="N11" s="76">
        <v>27600</v>
      </c>
      <c r="O11" s="160">
        <f t="shared" si="3"/>
        <v>2549635</v>
      </c>
      <c r="P11" s="76">
        <v>733598</v>
      </c>
      <c r="Q11" s="160">
        <f t="shared" si="4"/>
        <v>764890.5</v>
      </c>
      <c r="R11" s="1017">
        <f t="shared" si="5"/>
        <v>31292.5</v>
      </c>
    </row>
    <row r="12" spans="1:18" x14ac:dyDescent="0.25">
      <c r="B12" s="190">
        <v>46147</v>
      </c>
      <c r="C12" s="504">
        <v>22</v>
      </c>
      <c r="D12" s="76">
        <v>3795111</v>
      </c>
      <c r="E12" s="615"/>
      <c r="F12" s="76">
        <v>163223</v>
      </c>
      <c r="G12" s="165"/>
      <c r="H12" s="160">
        <f t="shared" si="0"/>
        <v>3958334</v>
      </c>
      <c r="I12" s="76">
        <v>3839154</v>
      </c>
      <c r="J12" s="160">
        <f>+H12-I12</f>
        <v>119180</v>
      </c>
      <c r="K12" s="160">
        <f t="shared" si="2"/>
        <v>3958334</v>
      </c>
      <c r="L12" s="76">
        <v>326000</v>
      </c>
      <c r="M12" s="160"/>
      <c r="N12" s="76">
        <v>40000</v>
      </c>
      <c r="O12" s="160">
        <f t="shared" si="3"/>
        <v>3592334</v>
      </c>
      <c r="P12" s="76">
        <v>1024457</v>
      </c>
      <c r="Q12" s="160">
        <f t="shared" si="4"/>
        <v>1077700.2</v>
      </c>
      <c r="R12" s="1017">
        <f t="shared" si="5"/>
        <v>53243.199999999953</v>
      </c>
    </row>
    <row r="13" spans="1:18" x14ac:dyDescent="0.25">
      <c r="B13" s="190">
        <v>46148</v>
      </c>
      <c r="C13" s="504">
        <v>11</v>
      </c>
      <c r="D13" s="76">
        <v>1437937</v>
      </c>
      <c r="E13" s="165"/>
      <c r="F13" s="76">
        <v>62105</v>
      </c>
      <c r="G13" s="165"/>
      <c r="H13" s="160">
        <f t="shared" si="0"/>
        <v>1500042</v>
      </c>
      <c r="I13" s="76">
        <v>1448330</v>
      </c>
      <c r="J13" s="160">
        <f>+H13-I13</f>
        <v>51712</v>
      </c>
      <c r="K13" s="160">
        <f t="shared" si="2"/>
        <v>1500042</v>
      </c>
      <c r="L13" s="76">
        <v>62500</v>
      </c>
      <c r="M13" s="160"/>
      <c r="N13" s="160"/>
      <c r="O13" s="160">
        <f t="shared" si="3"/>
        <v>1437542</v>
      </c>
      <c r="P13" s="76">
        <v>408468</v>
      </c>
      <c r="Q13" s="160">
        <f t="shared" si="4"/>
        <v>431262.6</v>
      </c>
      <c r="R13" s="1017">
        <f t="shared" si="5"/>
        <v>22794.599999999977</v>
      </c>
    </row>
    <row r="14" spans="1:18" x14ac:dyDescent="0.25">
      <c r="B14" s="190">
        <v>46149</v>
      </c>
      <c r="C14" s="504">
        <v>14</v>
      </c>
      <c r="D14" s="76">
        <v>1239876</v>
      </c>
      <c r="E14" s="165"/>
      <c r="F14" s="165"/>
      <c r="G14" s="160"/>
      <c r="H14" s="160">
        <f t="shared" si="0"/>
        <v>1239876</v>
      </c>
      <c r="I14" s="76">
        <v>1028180</v>
      </c>
      <c r="J14" s="160">
        <f>+H14-I14</f>
        <v>211696</v>
      </c>
      <c r="K14" s="160">
        <f t="shared" si="2"/>
        <v>1239876</v>
      </c>
      <c r="L14" s="76">
        <v>71000</v>
      </c>
      <c r="M14" s="160"/>
      <c r="N14" s="165"/>
      <c r="O14" s="160">
        <f t="shared" si="3"/>
        <v>1168876</v>
      </c>
      <c r="P14" s="76">
        <v>341896</v>
      </c>
      <c r="Q14" s="165">
        <f t="shared" si="4"/>
        <v>350662.8</v>
      </c>
      <c r="R14" s="1019">
        <f t="shared" si="5"/>
        <v>8766.7999999999884</v>
      </c>
    </row>
    <row r="15" spans="1:18" x14ac:dyDescent="0.25">
      <c r="B15" s="190">
        <v>46150</v>
      </c>
      <c r="C15" s="504">
        <v>23</v>
      </c>
      <c r="D15" s="76">
        <v>2263523</v>
      </c>
      <c r="E15" s="165"/>
      <c r="F15" s="76">
        <v>93405</v>
      </c>
      <c r="G15" s="165"/>
      <c r="H15" s="160">
        <f t="shared" si="0"/>
        <v>2356928</v>
      </c>
      <c r="I15" s="76">
        <v>1200480</v>
      </c>
      <c r="J15" s="160">
        <f>+H15-I15</f>
        <v>1156448</v>
      </c>
      <c r="K15" s="160">
        <f t="shared" si="2"/>
        <v>2356928</v>
      </c>
      <c r="L15" s="76">
        <v>139500</v>
      </c>
      <c r="M15" s="160"/>
      <c r="N15" s="76">
        <v>32000</v>
      </c>
      <c r="O15" s="160">
        <f t="shared" si="3"/>
        <v>2185428</v>
      </c>
      <c r="P15" s="76">
        <v>621169</v>
      </c>
      <c r="Q15" s="165">
        <f t="shared" si="4"/>
        <v>655628.4</v>
      </c>
      <c r="R15" s="1019">
        <f t="shared" si="5"/>
        <v>34459.400000000023</v>
      </c>
    </row>
    <row r="16" spans="1:18" x14ac:dyDescent="0.25">
      <c r="B16" s="190">
        <v>46151</v>
      </c>
      <c r="C16" s="504">
        <v>8</v>
      </c>
      <c r="D16" s="76">
        <v>521362</v>
      </c>
      <c r="E16" s="76">
        <v>454080</v>
      </c>
      <c r="F16" s="165"/>
      <c r="G16" s="160"/>
      <c r="H16" s="160">
        <f t="shared" si="0"/>
        <v>975442</v>
      </c>
      <c r="I16" s="76">
        <v>512458</v>
      </c>
      <c r="J16" s="160">
        <f>+H16-I16</f>
        <v>462984</v>
      </c>
      <c r="K16" s="160">
        <f t="shared" si="2"/>
        <v>975442</v>
      </c>
      <c r="L16" s="76">
        <v>39500</v>
      </c>
      <c r="M16" s="160"/>
      <c r="N16" s="165"/>
      <c r="O16" s="160">
        <f t="shared" si="3"/>
        <v>935942</v>
      </c>
      <c r="P16" s="76">
        <v>273763</v>
      </c>
      <c r="Q16" s="160">
        <f t="shared" si="4"/>
        <v>280782.59999999998</v>
      </c>
      <c r="R16" s="1017">
        <f t="shared" si="5"/>
        <v>7019.5999999999767</v>
      </c>
    </row>
    <row r="17" spans="2:18" x14ac:dyDescent="0.25">
      <c r="B17" s="1022">
        <v>46152</v>
      </c>
      <c r="C17" s="1024"/>
      <c r="D17" s="227"/>
      <c r="E17" s="227"/>
      <c r="F17" s="227"/>
      <c r="G17" s="227"/>
      <c r="H17" s="227">
        <f t="shared" si="0"/>
        <v>0</v>
      </c>
      <c r="I17" s="227"/>
      <c r="J17" s="227">
        <f t="shared" ref="J17:J38" si="6">+H17-I17</f>
        <v>0</v>
      </c>
      <c r="K17" s="227">
        <f t="shared" si="2"/>
        <v>0</v>
      </c>
      <c r="L17" s="227"/>
      <c r="M17" s="227"/>
      <c r="N17" s="227"/>
      <c r="O17" s="227">
        <f t="shared" si="3"/>
        <v>0</v>
      </c>
      <c r="P17" s="227"/>
      <c r="Q17" s="227">
        <f t="shared" si="4"/>
        <v>0</v>
      </c>
      <c r="R17" s="804">
        <f t="shared" si="5"/>
        <v>0</v>
      </c>
    </row>
    <row r="18" spans="2:18" x14ac:dyDescent="0.25">
      <c r="B18" s="190">
        <v>46153</v>
      </c>
      <c r="C18" s="504">
        <v>15</v>
      </c>
      <c r="D18" s="76">
        <v>989378</v>
      </c>
      <c r="E18" s="76"/>
      <c r="F18" s="76">
        <v>33830</v>
      </c>
      <c r="G18" s="76">
        <v>1327400</v>
      </c>
      <c r="H18" s="160">
        <f t="shared" si="0"/>
        <v>2350608</v>
      </c>
      <c r="I18" s="76">
        <v>1743518</v>
      </c>
      <c r="J18" s="160">
        <f t="shared" si="6"/>
        <v>607090</v>
      </c>
      <c r="K18" s="160">
        <f t="shared" si="2"/>
        <v>2350608</v>
      </c>
      <c r="L18" s="76">
        <v>103000</v>
      </c>
      <c r="M18" s="160">
        <v>50000</v>
      </c>
      <c r="N18" s="76">
        <v>6400</v>
      </c>
      <c r="O18" s="160">
        <f t="shared" si="3"/>
        <v>2191208</v>
      </c>
      <c r="P18" s="76">
        <v>634380</v>
      </c>
      <c r="Q18" s="160">
        <f t="shared" si="4"/>
        <v>657362.4</v>
      </c>
      <c r="R18" s="1017">
        <f t="shared" si="5"/>
        <v>22982.400000000023</v>
      </c>
    </row>
    <row r="19" spans="2:18" x14ac:dyDescent="0.25">
      <c r="B19" s="190">
        <v>46154</v>
      </c>
      <c r="C19" s="1021">
        <v>17</v>
      </c>
      <c r="D19" s="76">
        <v>835877</v>
      </c>
      <c r="E19" s="160"/>
      <c r="F19" s="76">
        <v>33830</v>
      </c>
      <c r="G19" s="76"/>
      <c r="H19" s="160">
        <f t="shared" si="0"/>
        <v>869707</v>
      </c>
      <c r="I19" s="76">
        <v>657205</v>
      </c>
      <c r="J19" s="160">
        <f t="shared" si="6"/>
        <v>212502</v>
      </c>
      <c r="K19" s="160">
        <f t="shared" si="2"/>
        <v>869707</v>
      </c>
      <c r="L19" s="76">
        <v>44250</v>
      </c>
      <c r="M19" s="160"/>
      <c r="N19" s="160"/>
      <c r="O19" s="160">
        <f t="shared" si="3"/>
        <v>825457</v>
      </c>
      <c r="P19" s="76">
        <v>234898</v>
      </c>
      <c r="Q19" s="160">
        <f t="shared" si="4"/>
        <v>247637.09999999998</v>
      </c>
      <c r="R19" s="1018">
        <f t="shared" si="5"/>
        <v>12739.099999999977</v>
      </c>
    </row>
    <row r="20" spans="2:18" x14ac:dyDescent="0.25">
      <c r="B20" s="190">
        <v>46155</v>
      </c>
      <c r="C20" s="160">
        <v>12</v>
      </c>
      <c r="D20" s="76">
        <v>4880260</v>
      </c>
      <c r="E20" s="165"/>
      <c r="F20" s="76">
        <v>2019800</v>
      </c>
      <c r="G20" s="165"/>
      <c r="H20" s="160">
        <f t="shared" si="0"/>
        <v>6900060</v>
      </c>
      <c r="I20" s="76">
        <v>5319066</v>
      </c>
      <c r="J20" s="160">
        <f t="shared" si="6"/>
        <v>1580994</v>
      </c>
      <c r="K20" s="160">
        <f t="shared" si="2"/>
        <v>6900060</v>
      </c>
      <c r="L20" s="76">
        <v>597000</v>
      </c>
      <c r="M20" s="165"/>
      <c r="N20" s="160"/>
      <c r="O20" s="160">
        <f t="shared" si="3"/>
        <v>6303060</v>
      </c>
      <c r="P20" s="76">
        <v>1451734</v>
      </c>
      <c r="Q20" s="165">
        <f t="shared" si="4"/>
        <v>1890918</v>
      </c>
      <c r="R20" s="1019">
        <f t="shared" si="5"/>
        <v>439184</v>
      </c>
    </row>
    <row r="21" spans="2:18" x14ac:dyDescent="0.25">
      <c r="B21" s="190">
        <v>46156</v>
      </c>
      <c r="C21" s="160">
        <v>4</v>
      </c>
      <c r="D21" s="76">
        <v>2284437</v>
      </c>
      <c r="E21" s="76">
        <v>764368</v>
      </c>
      <c r="F21" s="165"/>
      <c r="G21" s="76">
        <v>531000</v>
      </c>
      <c r="H21" s="160">
        <f t="shared" si="0"/>
        <v>3579805</v>
      </c>
      <c r="I21" s="76">
        <v>3579805</v>
      </c>
      <c r="J21" s="160">
        <f t="shared" si="6"/>
        <v>0</v>
      </c>
      <c r="K21" s="160">
        <f t="shared" si="2"/>
        <v>3579805</v>
      </c>
      <c r="L21" s="76">
        <v>143000</v>
      </c>
      <c r="M21" s="165">
        <v>50000</v>
      </c>
      <c r="N21" s="76">
        <v>15000</v>
      </c>
      <c r="O21" s="160">
        <f t="shared" si="3"/>
        <v>3371805</v>
      </c>
      <c r="P21" s="76">
        <v>986252</v>
      </c>
      <c r="Q21" s="165">
        <f t="shared" si="4"/>
        <v>1011541.5</v>
      </c>
      <c r="R21" s="1019">
        <f t="shared" si="5"/>
        <v>25289.5</v>
      </c>
    </row>
    <row r="22" spans="2:18" x14ac:dyDescent="0.25">
      <c r="B22" s="190">
        <v>46157</v>
      </c>
      <c r="C22" s="160">
        <v>13</v>
      </c>
      <c r="D22" s="76">
        <v>3367007</v>
      </c>
      <c r="E22" s="76">
        <v>153600</v>
      </c>
      <c r="F22" s="165"/>
      <c r="G22" s="160"/>
      <c r="H22" s="165">
        <f t="shared" si="0"/>
        <v>3520607</v>
      </c>
      <c r="I22" s="76">
        <v>2450136</v>
      </c>
      <c r="J22" s="160">
        <f t="shared" si="6"/>
        <v>1070471</v>
      </c>
      <c r="K22" s="160">
        <f t="shared" si="2"/>
        <v>3520607</v>
      </c>
      <c r="L22" s="76">
        <v>235500</v>
      </c>
      <c r="M22" s="160"/>
      <c r="N22" s="76">
        <v>7000</v>
      </c>
      <c r="O22" s="160">
        <f t="shared" si="3"/>
        <v>3278107</v>
      </c>
      <c r="P22" s="76">
        <v>958846</v>
      </c>
      <c r="Q22" s="165">
        <f t="shared" si="4"/>
        <v>983432.1</v>
      </c>
      <c r="R22" s="1019">
        <f t="shared" si="5"/>
        <v>24586.099999999977</v>
      </c>
    </row>
    <row r="23" spans="2:18" x14ac:dyDescent="0.25">
      <c r="B23" s="190">
        <v>46158</v>
      </c>
      <c r="C23" s="160">
        <v>15</v>
      </c>
      <c r="D23" s="76">
        <v>4369554</v>
      </c>
      <c r="E23" s="165"/>
      <c r="F23" s="165"/>
      <c r="G23" s="165"/>
      <c r="H23" s="160">
        <f t="shared" si="0"/>
        <v>4369554</v>
      </c>
      <c r="I23" s="76">
        <v>3523374</v>
      </c>
      <c r="J23" s="160">
        <f t="shared" si="6"/>
        <v>846180</v>
      </c>
      <c r="K23" s="160">
        <f t="shared" si="2"/>
        <v>4369554</v>
      </c>
      <c r="L23" s="76">
        <v>202250</v>
      </c>
      <c r="M23" s="165"/>
      <c r="N23" s="76">
        <v>3000</v>
      </c>
      <c r="O23" s="160">
        <f t="shared" si="3"/>
        <v>4164304</v>
      </c>
      <c r="P23" s="76">
        <v>1218058</v>
      </c>
      <c r="Q23" s="165">
        <f t="shared" si="4"/>
        <v>1249291.2</v>
      </c>
      <c r="R23" s="1019">
        <f t="shared" si="5"/>
        <v>31233.199999999953</v>
      </c>
    </row>
    <row r="24" spans="2:18" x14ac:dyDescent="0.25">
      <c r="B24" s="190">
        <v>46159</v>
      </c>
      <c r="C24" s="160">
        <v>5</v>
      </c>
      <c r="D24" s="76">
        <v>1932031</v>
      </c>
      <c r="E24" s="165"/>
      <c r="F24" s="165"/>
      <c r="G24" s="165"/>
      <c r="H24" s="160">
        <f t="shared" si="0"/>
        <v>1932031</v>
      </c>
      <c r="I24" s="76">
        <v>1932031</v>
      </c>
      <c r="J24" s="160">
        <f t="shared" si="6"/>
        <v>0</v>
      </c>
      <c r="K24" s="160">
        <f t="shared" si="2"/>
        <v>1932031</v>
      </c>
      <c r="L24" s="76">
        <v>117750</v>
      </c>
      <c r="M24" s="165"/>
      <c r="N24" s="160"/>
      <c r="O24" s="160">
        <f t="shared" si="3"/>
        <v>1814281</v>
      </c>
      <c r="P24" s="76">
        <v>530677</v>
      </c>
      <c r="Q24" s="165">
        <f t="shared" si="4"/>
        <v>544284.29999999993</v>
      </c>
      <c r="R24" s="1019">
        <f t="shared" si="5"/>
        <v>13607.29999999993</v>
      </c>
    </row>
    <row r="25" spans="2:18" x14ac:dyDescent="0.25">
      <c r="B25" s="190">
        <v>46160</v>
      </c>
      <c r="C25" s="165">
        <v>27</v>
      </c>
      <c r="D25" s="76">
        <v>1457160</v>
      </c>
      <c r="E25" s="76">
        <v>1223904</v>
      </c>
      <c r="F25" s="76">
        <v>164866</v>
      </c>
      <c r="G25" s="165"/>
      <c r="H25" s="160">
        <f t="shared" si="0"/>
        <v>2845930</v>
      </c>
      <c r="I25" s="76">
        <v>2428467</v>
      </c>
      <c r="J25" s="160">
        <f t="shared" si="6"/>
        <v>417463</v>
      </c>
      <c r="K25" s="160">
        <f t="shared" si="2"/>
        <v>2845930</v>
      </c>
      <c r="L25" s="76">
        <v>133250</v>
      </c>
      <c r="M25" s="160"/>
      <c r="N25" s="76">
        <v>13800</v>
      </c>
      <c r="O25" s="160">
        <f t="shared" si="3"/>
        <v>2698880</v>
      </c>
      <c r="P25" s="76">
        <v>760208</v>
      </c>
      <c r="Q25" s="165">
        <f t="shared" si="4"/>
        <v>809664</v>
      </c>
      <c r="R25" s="1019">
        <f t="shared" si="5"/>
        <v>49456</v>
      </c>
    </row>
    <row r="26" spans="2:18" x14ac:dyDescent="0.25">
      <c r="B26" s="190">
        <v>46161</v>
      </c>
      <c r="C26" s="165">
        <v>14</v>
      </c>
      <c r="D26" s="76">
        <v>826386</v>
      </c>
      <c r="E26" s="76">
        <v>562816</v>
      </c>
      <c r="F26" s="76">
        <v>62600</v>
      </c>
      <c r="G26" s="76"/>
      <c r="H26" s="160">
        <f t="shared" si="0"/>
        <v>1451802</v>
      </c>
      <c r="I26" s="76">
        <v>1377466</v>
      </c>
      <c r="J26" s="160">
        <f t="shared" si="6"/>
        <v>74336</v>
      </c>
      <c r="K26" s="160">
        <f t="shared" si="2"/>
        <v>1451802</v>
      </c>
      <c r="L26" s="76">
        <v>52750</v>
      </c>
      <c r="M26" s="165"/>
      <c r="N26" s="160"/>
      <c r="O26" s="160">
        <f t="shared" si="3"/>
        <v>1399052</v>
      </c>
      <c r="P26" s="76">
        <v>397113</v>
      </c>
      <c r="Q26" s="165">
        <f>O26*30%</f>
        <v>419715.6</v>
      </c>
      <c r="R26" s="1019">
        <f t="shared" si="5"/>
        <v>22602.599999999977</v>
      </c>
    </row>
    <row r="27" spans="2:18" x14ac:dyDescent="0.25">
      <c r="B27" s="190">
        <v>46162</v>
      </c>
      <c r="C27" s="160">
        <v>15</v>
      </c>
      <c r="D27" s="76">
        <v>1827144</v>
      </c>
      <c r="E27" s="160"/>
      <c r="F27" s="76">
        <v>113713</v>
      </c>
      <c r="G27" s="160"/>
      <c r="H27" s="160">
        <f t="shared" si="0"/>
        <v>1940857</v>
      </c>
      <c r="I27" s="76">
        <v>630735</v>
      </c>
      <c r="J27" s="160">
        <f t="shared" si="6"/>
        <v>1310122</v>
      </c>
      <c r="K27" s="160">
        <f t="shared" si="2"/>
        <v>1940857</v>
      </c>
      <c r="L27" s="76">
        <v>140750</v>
      </c>
      <c r="M27" s="160"/>
      <c r="N27" s="160">
        <v>54000</v>
      </c>
      <c r="O27" s="160">
        <f t="shared" si="3"/>
        <v>1746107</v>
      </c>
      <c r="P27" s="76">
        <v>492608</v>
      </c>
      <c r="Q27" s="160">
        <f t="shared" si="4"/>
        <v>523832.1</v>
      </c>
      <c r="R27" s="1017">
        <f t="shared" si="5"/>
        <v>31224.099999999977</v>
      </c>
    </row>
    <row r="28" spans="2:18" x14ac:dyDescent="0.25">
      <c r="B28" s="190">
        <v>46163</v>
      </c>
      <c r="C28" s="160">
        <v>13</v>
      </c>
      <c r="D28" s="76">
        <v>1235447</v>
      </c>
      <c r="E28" s="76">
        <v>141400</v>
      </c>
      <c r="F28" s="76">
        <v>28275</v>
      </c>
      <c r="G28" s="165"/>
      <c r="H28" s="160">
        <f t="shared" si="0"/>
        <v>1405122</v>
      </c>
      <c r="I28" s="76">
        <v>1365530</v>
      </c>
      <c r="J28" s="160">
        <f t="shared" si="6"/>
        <v>39592</v>
      </c>
      <c r="K28" s="160">
        <f t="shared" si="2"/>
        <v>1405122</v>
      </c>
      <c r="L28" s="76">
        <v>66250</v>
      </c>
      <c r="M28" s="160"/>
      <c r="N28" s="165"/>
      <c r="O28" s="160">
        <f t="shared" si="3"/>
        <v>1338872</v>
      </c>
      <c r="P28" s="76">
        <v>386155</v>
      </c>
      <c r="Q28" s="160">
        <f t="shared" si="4"/>
        <v>401661.6</v>
      </c>
      <c r="R28" s="1017">
        <f t="shared" si="5"/>
        <v>15506.599999999977</v>
      </c>
    </row>
    <row r="29" spans="2:18" x14ac:dyDescent="0.25">
      <c r="B29" s="190">
        <v>46164</v>
      </c>
      <c r="C29" s="160">
        <v>27</v>
      </c>
      <c r="D29" s="76">
        <v>2417800</v>
      </c>
      <c r="E29" s="76">
        <v>3234020</v>
      </c>
      <c r="F29" s="76">
        <v>45408</v>
      </c>
      <c r="G29" s="160"/>
      <c r="H29" s="160">
        <f>+D29+E29+F29+G29</f>
        <v>5697228</v>
      </c>
      <c r="I29" s="76">
        <v>5333021</v>
      </c>
      <c r="J29" s="160">
        <f t="shared" si="6"/>
        <v>364207</v>
      </c>
      <c r="K29" s="160">
        <f t="shared" si="2"/>
        <v>5697228</v>
      </c>
      <c r="L29" s="76">
        <v>215750</v>
      </c>
      <c r="M29" s="160"/>
      <c r="N29" s="76">
        <v>22800</v>
      </c>
      <c r="O29" s="160">
        <f t="shared" si="3"/>
        <v>5458678</v>
      </c>
      <c r="P29" s="76">
        <v>1590548</v>
      </c>
      <c r="Q29" s="160">
        <f t="shared" si="4"/>
        <v>1637603.4</v>
      </c>
      <c r="R29" s="1017">
        <f t="shared" si="5"/>
        <v>47055.399999999907</v>
      </c>
    </row>
    <row r="30" spans="2:18" x14ac:dyDescent="0.25">
      <c r="B30" s="190">
        <v>46165</v>
      </c>
      <c r="C30" s="165">
        <v>15</v>
      </c>
      <c r="D30" s="76">
        <v>15239698</v>
      </c>
      <c r="E30" s="76">
        <v>646400</v>
      </c>
      <c r="F30" s="165"/>
      <c r="G30" s="76">
        <v>562585</v>
      </c>
      <c r="H30" s="160">
        <f t="shared" si="0"/>
        <v>16448683</v>
      </c>
      <c r="I30" s="76">
        <v>16448683</v>
      </c>
      <c r="J30" s="160">
        <f t="shared" si="6"/>
        <v>0</v>
      </c>
      <c r="K30" s="160">
        <f t="shared" si="2"/>
        <v>16448683</v>
      </c>
      <c r="L30" s="76">
        <v>736500</v>
      </c>
      <c r="M30" s="160">
        <v>50000</v>
      </c>
      <c r="N30" s="76">
        <v>102000</v>
      </c>
      <c r="O30" s="160">
        <f t="shared" si="3"/>
        <v>15560183</v>
      </c>
      <c r="P30" s="76">
        <v>4551353</v>
      </c>
      <c r="Q30" s="160">
        <f t="shared" si="4"/>
        <v>4668054.8999999994</v>
      </c>
      <c r="R30" s="1017">
        <f t="shared" si="5"/>
        <v>116701.89999999944</v>
      </c>
    </row>
    <row r="31" spans="2:18" x14ac:dyDescent="0.25">
      <c r="B31" s="1022">
        <v>46166</v>
      </c>
      <c r="C31" s="1023"/>
      <c r="D31" s="1023"/>
      <c r="E31" s="1023"/>
      <c r="F31" s="1023"/>
      <c r="G31" s="1023"/>
      <c r="H31" s="1023"/>
      <c r="I31" s="1023"/>
      <c r="J31" s="1023"/>
      <c r="K31" s="1023"/>
      <c r="L31" s="1023"/>
      <c r="M31" s="1023"/>
      <c r="N31" s="1023"/>
      <c r="O31" s="1023"/>
      <c r="P31" s="1023"/>
      <c r="Q31" s="1023"/>
      <c r="R31" s="720"/>
    </row>
    <row r="32" spans="2:18" x14ac:dyDescent="0.25">
      <c r="B32" s="190">
        <v>46167</v>
      </c>
      <c r="C32" s="160">
        <v>31</v>
      </c>
      <c r="D32" s="76">
        <v>1352892</v>
      </c>
      <c r="E32" s="76">
        <v>335724</v>
      </c>
      <c r="F32" s="76">
        <v>356460</v>
      </c>
      <c r="G32" s="76">
        <v>689300</v>
      </c>
      <c r="H32" s="160">
        <f>+D32+E32+F32+G32</f>
        <v>2734376</v>
      </c>
      <c r="I32" s="76">
        <v>2452788</v>
      </c>
      <c r="J32" s="160">
        <f>+H32-I32</f>
        <v>281588</v>
      </c>
      <c r="K32" s="160">
        <f>+I32+J32</f>
        <v>2734376</v>
      </c>
      <c r="L32" s="76">
        <v>130500</v>
      </c>
      <c r="M32" s="160">
        <v>50000</v>
      </c>
      <c r="N32" s="76">
        <v>27380</v>
      </c>
      <c r="O32" s="160">
        <f>+K32-L32-M32-N32</f>
        <v>2526496</v>
      </c>
      <c r="P32" s="76">
        <v>670075</v>
      </c>
      <c r="Q32" s="160">
        <f>O32*30%</f>
        <v>757948.79999999993</v>
      </c>
      <c r="R32" s="1017">
        <f>Q32-P32</f>
        <v>87873.79999999993</v>
      </c>
    </row>
    <row r="33" spans="2:18" x14ac:dyDescent="0.25">
      <c r="B33" s="190">
        <v>46168</v>
      </c>
      <c r="C33" s="160">
        <v>13</v>
      </c>
      <c r="D33" s="76">
        <v>642037</v>
      </c>
      <c r="E33" s="76">
        <v>52520</v>
      </c>
      <c r="F33" s="76">
        <v>93213</v>
      </c>
      <c r="G33" s="160"/>
      <c r="H33" s="160">
        <f>+D33+E33+F33+G33</f>
        <v>787770</v>
      </c>
      <c r="I33" s="76">
        <v>601142</v>
      </c>
      <c r="J33" s="160">
        <f>+H33-I33</f>
        <v>186628</v>
      </c>
      <c r="K33" s="160">
        <f>+I33+J33</f>
        <v>787770</v>
      </c>
      <c r="L33" s="76">
        <v>49250</v>
      </c>
      <c r="M33" s="160"/>
      <c r="N33" s="160">
        <v>2000</v>
      </c>
      <c r="O33" s="160">
        <f>+K33-L33-M33-N33</f>
        <v>736520</v>
      </c>
      <c r="P33" s="76">
        <v>197353</v>
      </c>
      <c r="Q33" s="160">
        <f>O33*30%</f>
        <v>220956</v>
      </c>
      <c r="R33" s="1017">
        <f>Q33-P33</f>
        <v>23603</v>
      </c>
    </row>
    <row r="34" spans="2:18" x14ac:dyDescent="0.25">
      <c r="B34" s="1022">
        <v>46169</v>
      </c>
      <c r="C34" s="227"/>
      <c r="D34" s="227"/>
      <c r="E34" s="227"/>
      <c r="F34" s="227"/>
      <c r="G34" s="227"/>
      <c r="H34" s="227">
        <f t="shared" si="0"/>
        <v>0</v>
      </c>
      <c r="I34" s="227"/>
      <c r="J34" s="227">
        <f t="shared" si="6"/>
        <v>0</v>
      </c>
      <c r="K34" s="227">
        <f t="shared" si="2"/>
        <v>0</v>
      </c>
      <c r="L34" s="227"/>
      <c r="M34" s="227"/>
      <c r="N34" s="227"/>
      <c r="O34" s="227">
        <f t="shared" si="3"/>
        <v>0</v>
      </c>
      <c r="P34" s="227"/>
      <c r="Q34" s="227">
        <f t="shared" si="4"/>
        <v>0</v>
      </c>
      <c r="R34" s="804">
        <f t="shared" si="5"/>
        <v>0</v>
      </c>
    </row>
    <row r="35" spans="2:18" x14ac:dyDescent="0.25">
      <c r="B35" s="190">
        <v>46170</v>
      </c>
      <c r="C35" s="160">
        <v>14</v>
      </c>
      <c r="D35" s="76">
        <v>1341376</v>
      </c>
      <c r="E35" s="165"/>
      <c r="F35" s="165"/>
      <c r="G35" s="76">
        <v>1225375</v>
      </c>
      <c r="H35" s="160">
        <f t="shared" si="0"/>
        <v>2566751</v>
      </c>
      <c r="I35" s="76">
        <v>2301316</v>
      </c>
      <c r="J35" s="160">
        <f t="shared" si="6"/>
        <v>265435</v>
      </c>
      <c r="K35" s="160">
        <f t="shared" si="2"/>
        <v>2566751</v>
      </c>
      <c r="L35" s="76">
        <v>102750</v>
      </c>
      <c r="M35" s="160">
        <v>50000</v>
      </c>
      <c r="N35" s="160"/>
      <c r="O35" s="160">
        <f t="shared" si="3"/>
        <v>2414001</v>
      </c>
      <c r="P35" s="76">
        <v>706095</v>
      </c>
      <c r="Q35" s="160">
        <f t="shared" si="4"/>
        <v>724200.29999999993</v>
      </c>
      <c r="R35" s="1017">
        <f t="shared" si="5"/>
        <v>18105.29999999993</v>
      </c>
    </row>
    <row r="36" spans="2:18" x14ac:dyDescent="0.25">
      <c r="B36" s="190">
        <v>46171</v>
      </c>
      <c r="C36" s="160">
        <v>18</v>
      </c>
      <c r="D36" s="76">
        <v>3292802</v>
      </c>
      <c r="E36" s="165"/>
      <c r="F36" s="76">
        <v>290027</v>
      </c>
      <c r="G36" s="615"/>
      <c r="H36" s="160">
        <f t="shared" si="0"/>
        <v>3582829</v>
      </c>
      <c r="I36" s="76">
        <v>3540409</v>
      </c>
      <c r="J36" s="160">
        <f t="shared" si="6"/>
        <v>42420</v>
      </c>
      <c r="K36" s="160">
        <f t="shared" si="2"/>
        <v>3582829</v>
      </c>
      <c r="L36" s="76">
        <v>129250</v>
      </c>
      <c r="M36" s="160"/>
      <c r="N36" s="160"/>
      <c r="O36" s="160">
        <f t="shared" si="3"/>
        <v>3453579</v>
      </c>
      <c r="P36" s="76">
        <v>954055</v>
      </c>
      <c r="Q36" s="160">
        <f t="shared" si="4"/>
        <v>1036073.7</v>
      </c>
      <c r="R36" s="1017">
        <f t="shared" si="5"/>
        <v>82018.699999999953</v>
      </c>
    </row>
    <row r="37" spans="2:18" x14ac:dyDescent="0.25">
      <c r="B37" s="190">
        <v>46172</v>
      </c>
      <c r="C37" s="160">
        <v>13</v>
      </c>
      <c r="D37" s="76">
        <v>1826181</v>
      </c>
      <c r="E37" s="165"/>
      <c r="F37" s="165"/>
      <c r="G37" s="165"/>
      <c r="H37" s="160">
        <f t="shared" si="0"/>
        <v>1826181</v>
      </c>
      <c r="I37" s="76">
        <v>1597921</v>
      </c>
      <c r="J37" s="160">
        <f t="shared" si="6"/>
        <v>228260</v>
      </c>
      <c r="K37" s="160">
        <f t="shared" si="2"/>
        <v>1826181</v>
      </c>
      <c r="L37" s="76">
        <v>71000</v>
      </c>
      <c r="M37" s="160"/>
      <c r="N37" s="165"/>
      <c r="O37" s="160">
        <f t="shared" si="3"/>
        <v>1755181</v>
      </c>
      <c r="P37" s="76">
        <v>513390</v>
      </c>
      <c r="Q37" s="160">
        <f t="shared" si="4"/>
        <v>526554.29999999993</v>
      </c>
      <c r="R37" s="1017">
        <f t="shared" si="5"/>
        <v>13164.29999999993</v>
      </c>
    </row>
    <row r="38" spans="2:18" ht="15.75" thickBot="1" x14ac:dyDescent="0.3">
      <c r="B38" s="190">
        <v>46173</v>
      </c>
      <c r="C38" s="160">
        <v>1</v>
      </c>
      <c r="D38" s="165"/>
      <c r="E38" s="76">
        <v>0</v>
      </c>
      <c r="F38" s="76">
        <v>110090</v>
      </c>
      <c r="G38" s="165"/>
      <c r="H38" s="160">
        <f t="shared" si="0"/>
        <v>110090</v>
      </c>
      <c r="I38" s="76">
        <v>110090</v>
      </c>
      <c r="J38" s="160">
        <f t="shared" si="6"/>
        <v>0</v>
      </c>
      <c r="K38" s="160">
        <f t="shared" si="2"/>
        <v>110090</v>
      </c>
      <c r="L38" s="165">
        <v>750</v>
      </c>
      <c r="M38" s="160"/>
      <c r="N38" s="160">
        <v>8600</v>
      </c>
      <c r="O38" s="160">
        <f t="shared" si="3"/>
        <v>100740</v>
      </c>
      <c r="P38" s="76">
        <v>9822</v>
      </c>
      <c r="Q38" s="239">
        <f t="shared" si="4"/>
        <v>30222</v>
      </c>
      <c r="R38" s="1017">
        <f t="shared" si="5"/>
        <v>20400</v>
      </c>
    </row>
    <row r="39" spans="2:18" ht="15.75" thickBot="1" x14ac:dyDescent="0.3">
      <c r="C39" s="242">
        <f>SUM(C8:C38)</f>
        <v>390</v>
      </c>
      <c r="D39" s="242">
        <f t="shared" ref="D39:R39" si="7">SUM(D8:D38)</f>
        <v>61646461</v>
      </c>
      <c r="E39" s="242">
        <f t="shared" si="7"/>
        <v>9330056</v>
      </c>
      <c r="F39" s="242">
        <f t="shared" si="7"/>
        <v>3761353</v>
      </c>
      <c r="G39" s="242">
        <f t="shared" si="7"/>
        <v>4335660</v>
      </c>
      <c r="H39" s="242">
        <f t="shared" si="7"/>
        <v>79073530</v>
      </c>
      <c r="I39" s="242">
        <f t="shared" si="7"/>
        <v>68612597</v>
      </c>
      <c r="J39" s="242">
        <f t="shared" si="7"/>
        <v>10460933</v>
      </c>
      <c r="K39" s="242">
        <f t="shared" si="7"/>
        <v>79073530</v>
      </c>
      <c r="L39" s="242">
        <f t="shared" si="7"/>
        <v>4111000</v>
      </c>
      <c r="M39" s="242">
        <f t="shared" si="7"/>
        <v>250000</v>
      </c>
      <c r="N39" s="242">
        <f t="shared" si="7"/>
        <v>361580</v>
      </c>
      <c r="O39" s="242">
        <f t="shared" si="7"/>
        <v>74350950</v>
      </c>
      <c r="P39" s="243">
        <f t="shared" si="7"/>
        <v>21040290</v>
      </c>
      <c r="Q39" s="12">
        <f t="shared" si="7"/>
        <v>22305285</v>
      </c>
      <c r="R39" s="12">
        <f t="shared" si="7"/>
        <v>1264994.9999999991</v>
      </c>
    </row>
    <row r="41" spans="2:18" ht="15.75" thickBot="1" x14ac:dyDescent="0.3"/>
    <row r="42" spans="2:18" ht="15.75" thickBot="1" x14ac:dyDescent="0.3">
      <c r="B42" s="103" t="s">
        <v>490</v>
      </c>
      <c r="C42" s="201"/>
      <c r="D42" s="201"/>
      <c r="E42" s="202"/>
      <c r="F42" s="203" t="s">
        <v>229</v>
      </c>
      <c r="I42" s="178" t="s">
        <v>499</v>
      </c>
      <c r="J42" s="179"/>
      <c r="K42" s="186">
        <f>P39</f>
        <v>21040290</v>
      </c>
      <c r="M42" s="846" t="s">
        <v>1122</v>
      </c>
      <c r="Q42" t="s">
        <v>1131</v>
      </c>
      <c r="R42" t="s">
        <v>1132</v>
      </c>
    </row>
    <row r="43" spans="2:18" ht="15.75" thickBot="1" x14ac:dyDescent="0.3">
      <c r="B43" s="182" t="s">
        <v>491</v>
      </c>
      <c r="C43" s="183"/>
      <c r="D43" s="183"/>
      <c r="E43" s="181"/>
      <c r="F43" s="90">
        <v>100000</v>
      </c>
      <c r="I43" s="178" t="s">
        <v>500</v>
      </c>
      <c r="J43" s="179"/>
      <c r="K43" s="186">
        <f>F60</f>
        <v>13787272</v>
      </c>
      <c r="M43" t="s">
        <v>1123</v>
      </c>
      <c r="P43" s="114">
        <v>15300000</v>
      </c>
      <c r="Q43" s="848">
        <v>15000000</v>
      </c>
      <c r="R43" s="850">
        <f>P43/Q43*100%</f>
        <v>1.02</v>
      </c>
    </row>
    <row r="44" spans="2:18" ht="15.75" thickBot="1" x14ac:dyDescent="0.3">
      <c r="B44" s="21" t="s">
        <v>492</v>
      </c>
      <c r="C44" s="180"/>
      <c r="D44" s="180"/>
      <c r="E44" s="19"/>
      <c r="F44" s="3">
        <v>1730000</v>
      </c>
      <c r="K44" s="12">
        <f>K42-K43</f>
        <v>7253018</v>
      </c>
      <c r="M44" t="s">
        <v>1124</v>
      </c>
      <c r="P44" s="186">
        <f>K47-P43</f>
        <v>59050950</v>
      </c>
      <c r="Q44" s="114">
        <v>85000000</v>
      </c>
      <c r="R44" s="850">
        <f t="shared" ref="R44:R45" si="8">P44/Q44*100%</f>
        <v>0.69471705882352941</v>
      </c>
    </row>
    <row r="45" spans="2:18" ht="15.75" thickBot="1" x14ac:dyDescent="0.3">
      <c r="B45" s="21" t="s">
        <v>493</v>
      </c>
      <c r="C45" s="180"/>
      <c r="D45" s="180"/>
      <c r="E45" s="19"/>
      <c r="F45" s="3">
        <v>1080000</v>
      </c>
      <c r="P45" s="847">
        <f>P43+P44</f>
        <v>74350950</v>
      </c>
      <c r="Q45" s="849">
        <f>Q43+Q44</f>
        <v>100000000</v>
      </c>
      <c r="R45" s="850">
        <f t="shared" si="8"/>
        <v>0.74350950000000005</v>
      </c>
    </row>
    <row r="46" spans="2:18" ht="15.75" thickBot="1" x14ac:dyDescent="0.3">
      <c r="B46" t="s">
        <v>1340</v>
      </c>
      <c r="E46" s="19"/>
      <c r="F46" s="3">
        <v>500000</v>
      </c>
      <c r="I46" s="178" t="s">
        <v>502</v>
      </c>
      <c r="J46" s="179"/>
      <c r="K46" s="177">
        <v>100000000</v>
      </c>
      <c r="P46" t="s">
        <v>1125</v>
      </c>
      <c r="R46" s="5">
        <f>P43*28%</f>
        <v>4284000</v>
      </c>
    </row>
    <row r="47" spans="2:18" ht="15.75" thickBot="1" x14ac:dyDescent="0.3">
      <c r="B47" s="21" t="s">
        <v>1180</v>
      </c>
      <c r="C47" s="180"/>
      <c r="D47" s="180"/>
      <c r="E47" s="19"/>
      <c r="F47" s="3">
        <v>1370000</v>
      </c>
      <c r="I47" s="178" t="s">
        <v>503</v>
      </c>
      <c r="J47" s="179"/>
      <c r="K47" s="361">
        <f>O39</f>
        <v>74350950</v>
      </c>
      <c r="P47" t="s">
        <v>1126</v>
      </c>
      <c r="R47" s="5">
        <f>P39-R46</f>
        <v>16756290</v>
      </c>
    </row>
    <row r="48" spans="2:18" ht="15.75" thickBot="1" x14ac:dyDescent="0.3">
      <c r="B48" t="s">
        <v>1341</v>
      </c>
      <c r="C48" s="180"/>
      <c r="D48" s="180"/>
      <c r="E48" s="19"/>
      <c r="F48" s="3">
        <v>1006000</v>
      </c>
      <c r="K48" s="1059">
        <f>K47/K46</f>
        <v>0.74350950000000005</v>
      </c>
      <c r="R48" s="186">
        <f>R46+R47</f>
        <v>21040290</v>
      </c>
    </row>
    <row r="49" spans="2:13" x14ac:dyDescent="0.25">
      <c r="B49" s="21" t="s">
        <v>1342</v>
      </c>
      <c r="C49" s="180"/>
      <c r="D49" s="180"/>
      <c r="E49" s="19"/>
      <c r="F49" s="3">
        <v>286640</v>
      </c>
      <c r="H49" s="307"/>
      <c r="I49" s="1060"/>
      <c r="J49" s="1060"/>
      <c r="K49" s="1060"/>
      <c r="L49" s="1060"/>
      <c r="M49" s="1061"/>
    </row>
    <row r="50" spans="2:13" x14ac:dyDescent="0.25">
      <c r="B50" s="21" t="s">
        <v>496</v>
      </c>
      <c r="C50" s="180"/>
      <c r="D50" s="180"/>
      <c r="E50" s="19"/>
      <c r="F50" s="3">
        <v>252550</v>
      </c>
      <c r="H50" s="1062" t="s">
        <v>1406</v>
      </c>
      <c r="M50" s="1063"/>
    </row>
    <row r="51" spans="2:13" ht="15.75" thickBot="1" x14ac:dyDescent="0.3">
      <c r="B51" s="21" t="s">
        <v>497</v>
      </c>
      <c r="C51" s="180"/>
      <c r="D51" s="180"/>
      <c r="E51" s="19"/>
      <c r="F51" s="3">
        <v>225782</v>
      </c>
      <c r="H51" s="1062"/>
      <c r="M51" s="1063"/>
    </row>
    <row r="52" spans="2:13" ht="15.75" thickBot="1" x14ac:dyDescent="0.3">
      <c r="B52" s="21" t="s">
        <v>1140</v>
      </c>
      <c r="C52" s="180"/>
      <c r="D52" s="180"/>
      <c r="E52" s="19"/>
      <c r="F52" s="3">
        <f>25000+25000+30000+25000</f>
        <v>105000</v>
      </c>
      <c r="H52" s="1216" t="s">
        <v>1401</v>
      </c>
      <c r="I52" s="1217"/>
      <c r="J52" s="1217"/>
      <c r="K52" s="1218"/>
      <c r="M52" s="1063"/>
    </row>
    <row r="53" spans="2:13" x14ac:dyDescent="0.25">
      <c r="B53" s="21" t="s">
        <v>501</v>
      </c>
      <c r="C53" s="180"/>
      <c r="D53" s="180"/>
      <c r="E53" s="19"/>
      <c r="F53" s="3">
        <v>3300000</v>
      </c>
      <c r="H53" s="1062" t="s">
        <v>1169</v>
      </c>
      <c r="K53" s="5">
        <f>K42</f>
        <v>21040290</v>
      </c>
      <c r="M53" s="1063"/>
    </row>
    <row r="54" spans="2:13" x14ac:dyDescent="0.25">
      <c r="B54" s="21" t="s">
        <v>1141</v>
      </c>
      <c r="C54" s="180"/>
      <c r="D54" s="180"/>
      <c r="E54" s="19"/>
      <c r="F54" s="1054">
        <f>120000+115000</f>
        <v>235000</v>
      </c>
      <c r="H54" s="1062" t="s">
        <v>1170</v>
      </c>
      <c r="K54" s="5">
        <f>E76</f>
        <v>2010000</v>
      </c>
      <c r="M54" s="1063"/>
    </row>
    <row r="55" spans="2:13" ht="15.75" thickBot="1" x14ac:dyDescent="0.3">
      <c r="B55" s="21" t="s">
        <v>1164</v>
      </c>
      <c r="C55" s="180"/>
      <c r="D55" s="180"/>
      <c r="E55" s="19"/>
      <c r="F55" s="1054">
        <f>50000+100000+150000</f>
        <v>300000</v>
      </c>
      <c r="H55" s="1062" t="s">
        <v>1171</v>
      </c>
      <c r="K55" s="5">
        <f>E81</f>
        <v>2867000</v>
      </c>
      <c r="M55" s="1063"/>
    </row>
    <row r="56" spans="2:13" ht="15.75" thickBot="1" x14ac:dyDescent="0.3">
      <c r="B56" s="21" t="s">
        <v>1168</v>
      </c>
      <c r="C56" s="180"/>
      <c r="D56" s="180"/>
      <c r="E56" s="19"/>
      <c r="F56" s="3">
        <v>1602500</v>
      </c>
      <c r="H56" s="1062" t="s">
        <v>1128</v>
      </c>
      <c r="K56" s="186">
        <f>SUM(K53:K55)</f>
        <v>25917290</v>
      </c>
      <c r="M56" s="1063"/>
    </row>
    <row r="57" spans="2:13" ht="15.75" thickBot="1" x14ac:dyDescent="0.3">
      <c r="B57" s="21" t="s">
        <v>1343</v>
      </c>
      <c r="C57" s="180"/>
      <c r="D57" s="180"/>
      <c r="E57" s="19"/>
      <c r="F57" s="3">
        <f>113800</f>
        <v>113800</v>
      </c>
      <c r="H57" s="1062"/>
      <c r="M57" s="1063"/>
    </row>
    <row r="58" spans="2:13" ht="15.75" thickBot="1" x14ac:dyDescent="0.3">
      <c r="B58" s="21" t="s">
        <v>1390</v>
      </c>
      <c r="C58" s="180"/>
      <c r="D58" s="180"/>
      <c r="E58" s="19"/>
      <c r="F58" s="3">
        <f>203000+41000+15000+350000+51000</f>
        <v>660000</v>
      </c>
      <c r="H58" s="1219" t="s">
        <v>1402</v>
      </c>
      <c r="I58" s="1220"/>
      <c r="J58" s="1220"/>
      <c r="K58" s="1221"/>
      <c r="M58" s="1063"/>
    </row>
    <row r="59" spans="2:13" ht="15.75" thickBot="1" x14ac:dyDescent="0.3">
      <c r="B59" s="21" t="s">
        <v>1400</v>
      </c>
      <c r="C59" s="180"/>
      <c r="D59" s="180"/>
      <c r="E59" s="19"/>
      <c r="F59" s="3">
        <v>920000</v>
      </c>
      <c r="H59" s="1062"/>
      <c r="M59" s="1063"/>
    </row>
    <row r="60" spans="2:13" ht="15.75" thickBot="1" x14ac:dyDescent="0.3">
      <c r="F60" s="177">
        <f>SUM(F43:F59)</f>
        <v>13787272</v>
      </c>
      <c r="H60" s="1062" t="s">
        <v>1176</v>
      </c>
      <c r="K60" s="5">
        <f>F60</f>
        <v>13787272</v>
      </c>
      <c r="M60" s="1063"/>
    </row>
    <row r="61" spans="2:13" x14ac:dyDescent="0.25">
      <c r="H61" s="1062" t="s">
        <v>1177</v>
      </c>
      <c r="K61" s="5">
        <f>D76</f>
        <v>690939</v>
      </c>
      <c r="M61" s="1063"/>
    </row>
    <row r="62" spans="2:13" x14ac:dyDescent="0.25">
      <c r="B62" t="s">
        <v>1133</v>
      </c>
      <c r="H62" s="1062" t="s">
        <v>1178</v>
      </c>
      <c r="K62" s="5">
        <f>D81</f>
        <v>1576850.0000000002</v>
      </c>
      <c r="M62" s="1063"/>
    </row>
    <row r="63" spans="2:13" ht="15.75" thickBot="1" x14ac:dyDescent="0.3">
      <c r="B63" s="147" t="s">
        <v>1135</v>
      </c>
      <c r="C63" s="364"/>
      <c r="D63" s="61" t="s">
        <v>1136</v>
      </c>
      <c r="E63" s="285" t="s">
        <v>1137</v>
      </c>
      <c r="H63" s="1062"/>
      <c r="K63" s="471"/>
      <c r="M63" s="1063"/>
    </row>
    <row r="64" spans="2:13" ht="15.75" thickBot="1" x14ac:dyDescent="0.3">
      <c r="B64" s="21" t="s">
        <v>1389</v>
      </c>
      <c r="C64" s="19"/>
      <c r="D64" s="3">
        <f>53265+37976</f>
        <v>91241</v>
      </c>
      <c r="E64" s="3"/>
      <c r="H64" s="1062" t="s">
        <v>1129</v>
      </c>
      <c r="K64" s="186">
        <f>SUM(K60:K63)</f>
        <v>16055061</v>
      </c>
      <c r="M64" s="1063"/>
    </row>
    <row r="65" spans="2:13" ht="15.75" thickBot="1" x14ac:dyDescent="0.3">
      <c r="B65" s="21" t="s">
        <v>635</v>
      </c>
      <c r="C65" s="19"/>
      <c r="D65" s="3"/>
      <c r="E65" s="3">
        <f>25000+100000+35000+50000+15000+30000+25000+40000+140000+20000+10000+30000+20000+50000+20000+15000+25000+15000+50000+30000+15000+20000+50000+15000+15000+35000+20000+25000+50000</f>
        <v>990000</v>
      </c>
      <c r="H65" s="1062"/>
      <c r="M65" s="1063"/>
    </row>
    <row r="66" spans="2:13" ht="15.75" thickBot="1" x14ac:dyDescent="0.3">
      <c r="B66" s="21" t="s">
        <v>1391</v>
      </c>
      <c r="C66" s="19"/>
      <c r="D66" s="3"/>
      <c r="E66" s="3">
        <v>40000</v>
      </c>
      <c r="H66" s="1062" t="s">
        <v>1405</v>
      </c>
      <c r="K66" s="497">
        <f>K56-K64</f>
        <v>9862229</v>
      </c>
      <c r="M66" s="1063"/>
    </row>
    <row r="67" spans="2:13" x14ac:dyDescent="0.25">
      <c r="B67" s="21" t="s">
        <v>1157</v>
      </c>
      <c r="C67" s="19"/>
      <c r="D67" s="3">
        <f>8000+9000+20000+17000+12000+6000+5000+28000+12000+4000+20000+20000+20000+6000+11000+20000+20000+3000</f>
        <v>241000</v>
      </c>
      <c r="E67" s="3"/>
      <c r="H67" s="1062"/>
      <c r="M67" s="1063"/>
    </row>
    <row r="68" spans="2:13" ht="15.75" thickBot="1" x14ac:dyDescent="0.3">
      <c r="B68" s="21" t="s">
        <v>1392</v>
      </c>
      <c r="C68" s="19"/>
      <c r="D68" s="3"/>
      <c r="E68" s="3">
        <v>30000</v>
      </c>
      <c r="H68" s="176"/>
      <c r="I68" s="137"/>
      <c r="J68" s="137"/>
      <c r="K68" s="137"/>
      <c r="L68" s="137"/>
      <c r="M68" s="1064"/>
    </row>
    <row r="69" spans="2:13" x14ac:dyDescent="0.25">
      <c r="B69" s="21" t="s">
        <v>1393</v>
      </c>
      <c r="C69" s="19"/>
      <c r="D69" s="3"/>
      <c r="E69" s="3">
        <v>15000</v>
      </c>
    </row>
    <row r="70" spans="2:13" x14ac:dyDescent="0.25">
      <c r="B70" s="21" t="s">
        <v>1394</v>
      </c>
      <c r="C70" s="19"/>
      <c r="D70" s="3"/>
      <c r="E70" s="3">
        <v>85000</v>
      </c>
    </row>
    <row r="71" spans="2:13" x14ac:dyDescent="0.25">
      <c r="B71" s="21" t="s">
        <v>1395</v>
      </c>
      <c r="C71" s="19"/>
      <c r="D71" s="3">
        <f>26000+22000+75000+8000+20000+4000</f>
        <v>155000</v>
      </c>
      <c r="E71" s="3"/>
    </row>
    <row r="72" spans="2:13" x14ac:dyDescent="0.25">
      <c r="B72" s="21" t="s">
        <v>1396</v>
      </c>
      <c r="C72" s="19"/>
      <c r="D72" s="3"/>
      <c r="E72" s="3">
        <f>25000</f>
        <v>25000</v>
      </c>
    </row>
    <row r="73" spans="2:13" x14ac:dyDescent="0.25">
      <c r="B73" s="21" t="s">
        <v>1397</v>
      </c>
      <c r="C73" s="19"/>
      <c r="D73" s="3"/>
      <c r="E73" s="3">
        <f>75000+50000+50000+50000+250000+25000+25000+300000</f>
        <v>825000</v>
      </c>
    </row>
    <row r="74" spans="2:13" x14ac:dyDescent="0.25">
      <c r="B74" s="21" t="s">
        <v>1398</v>
      </c>
      <c r="C74" s="19"/>
      <c r="D74" s="3">
        <f>128698</f>
        <v>128698</v>
      </c>
      <c r="E74" s="3"/>
    </row>
    <row r="75" spans="2:13" ht="15.75" thickBot="1" x14ac:dyDescent="0.3">
      <c r="B75" s="21" t="s">
        <v>1399</v>
      </c>
      <c r="C75" s="19"/>
      <c r="D75" s="3">
        <v>75000</v>
      </c>
      <c r="E75" s="3"/>
    </row>
    <row r="76" spans="2:13" ht="15.75" thickBot="1" x14ac:dyDescent="0.3">
      <c r="D76" s="186">
        <f>SUM(D64:D75)</f>
        <v>690939</v>
      </c>
      <c r="E76" s="186">
        <f>SUM(E64:E75)</f>
        <v>2010000</v>
      </c>
    </row>
    <row r="77" spans="2:13" ht="15.75" thickBot="1" x14ac:dyDescent="0.3">
      <c r="E77" s="621">
        <f>E76-D76</f>
        <v>1319061</v>
      </c>
    </row>
    <row r="79" spans="2:13" x14ac:dyDescent="0.25">
      <c r="B79" t="s">
        <v>1403</v>
      </c>
    </row>
    <row r="80" spans="2:13" ht="15.75" thickBot="1" x14ac:dyDescent="0.3">
      <c r="B80" s="1055" t="s">
        <v>1135</v>
      </c>
      <c r="C80" s="1056"/>
      <c r="D80" s="1057" t="s">
        <v>1136</v>
      </c>
      <c r="E80" s="1058" t="s">
        <v>1137</v>
      </c>
    </row>
    <row r="81" spans="2:5" ht="15.75" thickBot="1" x14ac:dyDescent="0.3">
      <c r="B81" t="s">
        <v>1404</v>
      </c>
      <c r="D81" s="186">
        <f>E81*55%</f>
        <v>1576850.0000000002</v>
      </c>
      <c r="E81" s="114">
        <f>80000+86000+86000+90000+88000+97000+123000+100000+104000+86000+86000+86000+108000+86000+112000+86000+86000+95000+100000+86000+86000+70000+86000+99000+93000+116000+108000+150000+100000+88000</f>
        <v>2867000</v>
      </c>
    </row>
    <row r="82" spans="2:5" ht="15.75" thickBot="1" x14ac:dyDescent="0.3">
      <c r="E82" s="621">
        <f>E81-D81</f>
        <v>1290149.9999999998</v>
      </c>
    </row>
  </sheetData>
  <mergeCells count="16">
    <mergeCell ref="H52:K52"/>
    <mergeCell ref="H58:K58"/>
    <mergeCell ref="N6:N7"/>
    <mergeCell ref="O6:O7"/>
    <mergeCell ref="P6:P7"/>
    <mergeCell ref="R6:R7"/>
    <mergeCell ref="A5:R5"/>
    <mergeCell ref="B6:B7"/>
    <mergeCell ref="C6:C7"/>
    <mergeCell ref="D6:G6"/>
    <mergeCell ref="H6:H7"/>
    <mergeCell ref="I6:I7"/>
    <mergeCell ref="J6:J7"/>
    <mergeCell ref="K6:K7"/>
    <mergeCell ref="L6:L7"/>
    <mergeCell ref="M6:M7"/>
  </mergeCells>
  <pageMargins left="0.31496062992125984" right="0.31496062992125984" top="0.35433070866141736" bottom="0.35433070866141736" header="0.31496062992125984" footer="0.31496062992125984"/>
  <pageSetup paperSize="5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21"/>
  <sheetViews>
    <sheetView workbookViewId="0">
      <selection activeCell="G70" sqref="G70"/>
    </sheetView>
  </sheetViews>
  <sheetFormatPr defaultRowHeight="15" x14ac:dyDescent="0.25"/>
  <cols>
    <col min="1" max="1" width="10.7109375" bestFit="1" customWidth="1"/>
    <col min="2" max="2" width="21.85546875" customWidth="1"/>
    <col min="3" max="3" width="24" bestFit="1" customWidth="1"/>
    <col min="4" max="4" width="13.28515625" style="129" customWidth="1"/>
    <col min="5" max="5" width="14.140625" style="18" customWidth="1"/>
    <col min="6" max="6" width="10.5703125" style="18" bestFit="1" customWidth="1"/>
    <col min="7" max="7" width="10.5703125" bestFit="1" customWidth="1"/>
    <col min="11" max="11" width="18.7109375" customWidth="1"/>
    <col min="12" max="12" width="31.140625" customWidth="1"/>
    <col min="13" max="13" width="29.7109375" customWidth="1"/>
    <col min="14" max="14" width="21.42578125" customWidth="1"/>
  </cols>
  <sheetData>
    <row r="1" spans="1:16" x14ac:dyDescent="0.25">
      <c r="C1" s="816" t="s">
        <v>40</v>
      </c>
      <c r="D1" s="901" t="s">
        <v>37</v>
      </c>
    </row>
    <row r="2" spans="1:16" x14ac:dyDescent="0.25">
      <c r="C2" s="816" t="s">
        <v>38</v>
      </c>
      <c r="D2" s="901" t="s">
        <v>39</v>
      </c>
    </row>
    <row r="3" spans="1:16" x14ac:dyDescent="0.25">
      <c r="A3" s="1181" t="s">
        <v>36</v>
      </c>
      <c r="B3" s="1181"/>
      <c r="C3" s="1181"/>
      <c r="D3" s="1181"/>
      <c r="E3" s="1181"/>
    </row>
    <row r="4" spans="1:16" x14ac:dyDescent="0.25">
      <c r="A4" s="1182" t="s">
        <v>0</v>
      </c>
      <c r="B4" s="1182" t="s">
        <v>21</v>
      </c>
      <c r="C4" s="1182" t="s">
        <v>23</v>
      </c>
      <c r="D4" s="130" t="s">
        <v>25</v>
      </c>
      <c r="E4" s="786" t="s">
        <v>34</v>
      </c>
    </row>
    <row r="5" spans="1:16" x14ac:dyDescent="0.25">
      <c r="A5" s="1182"/>
      <c r="B5" s="1182"/>
      <c r="C5" s="1182"/>
      <c r="D5" s="130" t="s">
        <v>26</v>
      </c>
      <c r="E5" s="786" t="s">
        <v>35</v>
      </c>
      <c r="F5" s="18" t="s">
        <v>432</v>
      </c>
    </row>
    <row r="6" spans="1:16" ht="18.75" customHeight="1" x14ac:dyDescent="0.25">
      <c r="A6" s="440">
        <v>46128</v>
      </c>
      <c r="B6" s="226" t="s">
        <v>1100</v>
      </c>
      <c r="C6" s="298" t="s">
        <v>86</v>
      </c>
      <c r="D6" s="227">
        <v>83325</v>
      </c>
      <c r="E6" s="245"/>
      <c r="F6" s="152" t="s">
        <v>1327</v>
      </c>
      <c r="G6" s="720"/>
      <c r="K6" s="744"/>
      <c r="L6" s="857"/>
      <c r="M6" s="897"/>
      <c r="N6" s="719"/>
      <c r="O6" s="18"/>
      <c r="P6" s="18"/>
    </row>
    <row r="7" spans="1:16" x14ac:dyDescent="0.25">
      <c r="A7" s="744">
        <v>46211</v>
      </c>
      <c r="B7" s="855" t="s">
        <v>1525</v>
      </c>
      <c r="C7" s="855" t="s">
        <v>842</v>
      </c>
      <c r="D7" s="76">
        <v>149478</v>
      </c>
      <c r="E7" s="3"/>
    </row>
    <row r="8" spans="1:16" x14ac:dyDescent="0.25">
      <c r="A8" s="744">
        <v>46216</v>
      </c>
      <c r="B8" s="1104" t="s">
        <v>1538</v>
      </c>
      <c r="C8" s="1104" t="s">
        <v>48</v>
      </c>
      <c r="D8" s="76">
        <v>125248</v>
      </c>
      <c r="E8" s="3"/>
    </row>
    <row r="9" spans="1:16" x14ac:dyDescent="0.25">
      <c r="A9" s="744">
        <v>46216</v>
      </c>
      <c r="B9" s="856" t="s">
        <v>1539</v>
      </c>
      <c r="C9" s="856" t="s">
        <v>48</v>
      </c>
      <c r="D9" s="541">
        <v>36160</v>
      </c>
      <c r="E9" s="3"/>
    </row>
    <row r="10" spans="1:16" x14ac:dyDescent="0.25">
      <c r="A10" s="744">
        <v>46216</v>
      </c>
      <c r="B10" s="1104" t="s">
        <v>1540</v>
      </c>
      <c r="C10" s="1104" t="s">
        <v>842</v>
      </c>
      <c r="D10" s="76">
        <v>14140</v>
      </c>
      <c r="E10" s="3"/>
    </row>
    <row r="11" spans="1:16" x14ac:dyDescent="0.25">
      <c r="A11" s="744">
        <v>46216</v>
      </c>
      <c r="B11" s="1104" t="s">
        <v>1542</v>
      </c>
      <c r="C11" s="1104" t="s">
        <v>842</v>
      </c>
      <c r="D11" s="76">
        <v>46460</v>
      </c>
      <c r="E11" s="3"/>
    </row>
    <row r="12" spans="1:16" ht="30" x14ac:dyDescent="0.25">
      <c r="A12" s="744">
        <v>46219</v>
      </c>
      <c r="B12" s="1104" t="s">
        <v>1560</v>
      </c>
      <c r="C12" s="1104" t="s">
        <v>714</v>
      </c>
      <c r="D12" s="76">
        <v>24240</v>
      </c>
      <c r="E12" s="3"/>
    </row>
    <row r="13" spans="1:16" x14ac:dyDescent="0.25">
      <c r="A13" s="744">
        <v>46219</v>
      </c>
      <c r="B13" s="856" t="s">
        <v>1561</v>
      </c>
      <c r="C13" s="856" t="s">
        <v>135</v>
      </c>
      <c r="D13" s="541">
        <v>24240</v>
      </c>
      <c r="E13" s="3"/>
    </row>
    <row r="14" spans="1:16" x14ac:dyDescent="0.25">
      <c r="A14" s="744">
        <v>46219</v>
      </c>
      <c r="B14" s="857" t="s">
        <v>1564</v>
      </c>
      <c r="C14" s="857" t="s">
        <v>1367</v>
      </c>
      <c r="D14" s="719">
        <v>1635506</v>
      </c>
      <c r="E14" s="3"/>
    </row>
    <row r="15" spans="1:16" x14ac:dyDescent="0.25">
      <c r="A15" s="744">
        <v>46220</v>
      </c>
      <c r="B15" s="1104" t="s">
        <v>1565</v>
      </c>
      <c r="C15" s="1104" t="s">
        <v>48</v>
      </c>
      <c r="D15" s="76">
        <v>24241</v>
      </c>
      <c r="E15" s="3"/>
    </row>
    <row r="16" spans="1:16" x14ac:dyDescent="0.25">
      <c r="A16" s="744">
        <v>46220</v>
      </c>
      <c r="B16" s="856" t="s">
        <v>1566</v>
      </c>
      <c r="C16" s="856" t="s">
        <v>842</v>
      </c>
      <c r="D16" s="541">
        <v>26260</v>
      </c>
      <c r="E16" s="3"/>
    </row>
    <row r="18" spans="1:5" x14ac:dyDescent="0.25">
      <c r="A18" s="744">
        <v>46220</v>
      </c>
      <c r="B18" s="856" t="s">
        <v>1568</v>
      </c>
      <c r="C18" s="856" t="s">
        <v>842</v>
      </c>
      <c r="D18" s="541">
        <v>20200</v>
      </c>
      <c r="E18" s="3"/>
    </row>
    <row r="19" spans="1:5" ht="30" x14ac:dyDescent="0.25">
      <c r="A19" s="744">
        <v>46220</v>
      </c>
      <c r="B19" s="856" t="s">
        <v>1569</v>
      </c>
      <c r="C19" s="856" t="s">
        <v>583</v>
      </c>
      <c r="D19" s="541">
        <v>109080</v>
      </c>
      <c r="E19" s="3"/>
    </row>
    <row r="20" spans="1:5" x14ac:dyDescent="0.25">
      <c r="A20" s="744">
        <v>46220</v>
      </c>
      <c r="B20" s="1106" t="s">
        <v>1571</v>
      </c>
      <c r="C20" s="1106" t="s">
        <v>1572</v>
      </c>
      <c r="D20" s="1105">
        <v>288456</v>
      </c>
      <c r="E20" s="3"/>
    </row>
    <row r="21" spans="1:5" x14ac:dyDescent="0.25">
      <c r="A21" s="744">
        <v>46221</v>
      </c>
      <c r="B21" s="1104" t="s">
        <v>1573</v>
      </c>
      <c r="C21" s="1104" t="s">
        <v>147</v>
      </c>
      <c r="D21" s="76">
        <v>16160</v>
      </c>
      <c r="E21" s="3"/>
    </row>
    <row r="22" spans="1:5" x14ac:dyDescent="0.25">
      <c r="A22" s="744">
        <v>46221</v>
      </c>
      <c r="B22" s="856" t="s">
        <v>1574</v>
      </c>
      <c r="C22" s="856" t="s">
        <v>1026</v>
      </c>
      <c r="D22" s="541">
        <v>112110</v>
      </c>
      <c r="E22" s="3"/>
    </row>
    <row r="23" spans="1:5" x14ac:dyDescent="0.25">
      <c r="A23" s="744">
        <v>46221</v>
      </c>
      <c r="B23" s="1104" t="s">
        <v>1575</v>
      </c>
      <c r="C23" s="1104" t="s">
        <v>1576</v>
      </c>
      <c r="D23" s="76">
        <v>24240</v>
      </c>
      <c r="E23" s="3"/>
    </row>
    <row r="24" spans="1:5" x14ac:dyDescent="0.25">
      <c r="A24" s="744">
        <v>46223</v>
      </c>
      <c r="B24" s="854" t="s">
        <v>1578</v>
      </c>
      <c r="C24" s="854" t="s">
        <v>147</v>
      </c>
      <c r="D24" s="541">
        <v>16160</v>
      </c>
      <c r="E24" s="3"/>
    </row>
    <row r="25" spans="1:5" x14ac:dyDescent="0.25">
      <c r="A25" s="744">
        <v>46223</v>
      </c>
      <c r="B25" s="854" t="s">
        <v>1579</v>
      </c>
      <c r="C25" s="854" t="s">
        <v>218</v>
      </c>
      <c r="D25" s="541">
        <v>14140</v>
      </c>
      <c r="E25" s="3"/>
    </row>
    <row r="26" spans="1:5" x14ac:dyDescent="0.25">
      <c r="A26" s="744">
        <v>46223</v>
      </c>
      <c r="B26" s="855" t="s">
        <v>1580</v>
      </c>
      <c r="C26" s="855" t="s">
        <v>1563</v>
      </c>
      <c r="D26" s="76">
        <v>14140</v>
      </c>
      <c r="E26" s="3"/>
    </row>
    <row r="27" spans="1:5" x14ac:dyDescent="0.25">
      <c r="A27" s="744">
        <v>46223</v>
      </c>
      <c r="B27" s="855" t="s">
        <v>1581</v>
      </c>
      <c r="C27" s="855" t="s">
        <v>135</v>
      </c>
      <c r="D27" s="76">
        <v>50904</v>
      </c>
      <c r="E27" s="3"/>
    </row>
    <row r="28" spans="1:5" x14ac:dyDescent="0.25">
      <c r="A28" s="744">
        <v>46223</v>
      </c>
      <c r="B28" s="855" t="s">
        <v>1582</v>
      </c>
      <c r="C28" s="855" t="s">
        <v>1479</v>
      </c>
      <c r="D28" s="76">
        <v>34340</v>
      </c>
      <c r="E28" s="3"/>
    </row>
    <row r="29" spans="1:5" ht="30" x14ac:dyDescent="0.25">
      <c r="A29" s="744">
        <v>46223</v>
      </c>
      <c r="B29" s="856" t="s">
        <v>1583</v>
      </c>
      <c r="C29" s="856" t="s">
        <v>753</v>
      </c>
      <c r="D29" s="541">
        <v>184205</v>
      </c>
      <c r="E29" s="149"/>
    </row>
    <row r="30" spans="1:5" x14ac:dyDescent="0.25">
      <c r="A30" s="744">
        <v>46224</v>
      </c>
      <c r="B30" s="1104" t="s">
        <v>1584</v>
      </c>
      <c r="C30" s="1104" t="s">
        <v>842</v>
      </c>
      <c r="D30" s="76">
        <v>14140</v>
      </c>
      <c r="E30" s="149"/>
    </row>
    <row r="31" spans="1:5" x14ac:dyDescent="0.25">
      <c r="A31" s="744">
        <v>46224</v>
      </c>
      <c r="B31" s="856" t="s">
        <v>1585</v>
      </c>
      <c r="C31" s="856" t="s">
        <v>1586</v>
      </c>
      <c r="D31" s="541">
        <v>24237</v>
      </c>
      <c r="E31" s="149"/>
    </row>
    <row r="32" spans="1:5" x14ac:dyDescent="0.25">
      <c r="A32" s="744">
        <v>46224</v>
      </c>
      <c r="B32" s="1104" t="s">
        <v>1587</v>
      </c>
      <c r="C32" s="1104" t="s">
        <v>1588</v>
      </c>
      <c r="D32" s="76">
        <v>275730</v>
      </c>
      <c r="E32" s="149"/>
    </row>
    <row r="33" spans="1:4" x14ac:dyDescent="0.25">
      <c r="A33" s="744">
        <v>46224</v>
      </c>
      <c r="B33" s="856" t="s">
        <v>1589</v>
      </c>
      <c r="C33" s="856" t="s">
        <v>46</v>
      </c>
      <c r="D33" s="541">
        <v>92920</v>
      </c>
    </row>
    <row r="34" spans="1:4" x14ac:dyDescent="0.25">
      <c r="A34" s="744">
        <v>46224</v>
      </c>
      <c r="B34" s="1106" t="s">
        <v>1590</v>
      </c>
      <c r="C34" s="1106" t="s">
        <v>538</v>
      </c>
      <c r="D34" s="1105">
        <v>29088</v>
      </c>
    </row>
    <row r="35" spans="1:4" x14ac:dyDescent="0.25">
      <c r="A35" s="744">
        <v>46225</v>
      </c>
      <c r="B35" s="854" t="s">
        <v>1612</v>
      </c>
      <c r="C35" s="854" t="s">
        <v>147</v>
      </c>
      <c r="D35" s="541">
        <v>18660</v>
      </c>
    </row>
    <row r="36" spans="1:4" ht="15.75" thickBot="1" x14ac:dyDescent="0.3">
      <c r="A36" s="744">
        <v>46225</v>
      </c>
      <c r="B36" s="854" t="s">
        <v>1613</v>
      </c>
      <c r="C36" s="854" t="s">
        <v>1614</v>
      </c>
      <c r="D36" s="541">
        <v>126464</v>
      </c>
    </row>
    <row r="37" spans="1:4" ht="15.75" thickBot="1" x14ac:dyDescent="0.3">
      <c r="A37" s="744">
        <v>46226</v>
      </c>
      <c r="B37" s="1175" t="s">
        <v>1615</v>
      </c>
      <c r="C37" s="1175" t="s">
        <v>1616</v>
      </c>
      <c r="D37" s="145">
        <v>16641</v>
      </c>
    </row>
    <row r="38" spans="1:4" ht="15.75" thickBot="1" x14ac:dyDescent="0.3">
      <c r="A38" s="744">
        <v>46226</v>
      </c>
      <c r="B38" s="1176" t="s">
        <v>1617</v>
      </c>
      <c r="C38" s="1176" t="s">
        <v>1616</v>
      </c>
      <c r="D38" s="140">
        <v>20000</v>
      </c>
    </row>
    <row r="39" spans="1:4" ht="30.75" thickBot="1" x14ac:dyDescent="0.3">
      <c r="A39" s="744">
        <v>46226</v>
      </c>
      <c r="B39" s="1176" t="s">
        <v>1618</v>
      </c>
      <c r="C39" s="1176" t="s">
        <v>583</v>
      </c>
      <c r="D39" s="140">
        <v>201528</v>
      </c>
    </row>
    <row r="40" spans="1:4" x14ac:dyDescent="0.25">
      <c r="A40" s="1026">
        <v>46226</v>
      </c>
      <c r="B40" s="1177" t="s">
        <v>1619</v>
      </c>
      <c r="C40" s="1177" t="s">
        <v>842</v>
      </c>
      <c r="D40" s="140">
        <v>17650</v>
      </c>
    </row>
    <row r="41" spans="1:4" ht="30" x14ac:dyDescent="0.25">
      <c r="A41" s="244">
        <v>46227</v>
      </c>
      <c r="B41" s="854" t="s">
        <v>1620</v>
      </c>
      <c r="C41" s="854" t="s">
        <v>753</v>
      </c>
      <c r="D41" s="541">
        <v>177912</v>
      </c>
    </row>
    <row r="42" spans="1:4" x14ac:dyDescent="0.25">
      <c r="A42" s="244">
        <v>46227</v>
      </c>
      <c r="B42" s="854" t="s">
        <v>1621</v>
      </c>
      <c r="C42" s="854" t="s">
        <v>63</v>
      </c>
      <c r="D42" s="541">
        <v>16640</v>
      </c>
    </row>
    <row r="43" spans="1:4" x14ac:dyDescent="0.25">
      <c r="A43" s="244">
        <v>46227</v>
      </c>
      <c r="B43" s="855" t="s">
        <v>1622</v>
      </c>
      <c r="C43" s="855" t="s">
        <v>138</v>
      </c>
      <c r="D43" s="76">
        <v>57519</v>
      </c>
    </row>
    <row r="44" spans="1:4" x14ac:dyDescent="0.25">
      <c r="A44" s="1178">
        <v>46227</v>
      </c>
      <c r="B44" s="1179" t="s">
        <v>1623</v>
      </c>
      <c r="C44" s="1179" t="s">
        <v>46</v>
      </c>
      <c r="D44" s="719">
        <v>122580</v>
      </c>
    </row>
    <row r="45" spans="1:4" x14ac:dyDescent="0.25">
      <c r="A45" s="244">
        <v>46228</v>
      </c>
      <c r="B45" s="854" t="s">
        <v>1624</v>
      </c>
      <c r="C45" s="854" t="s">
        <v>842</v>
      </c>
      <c r="D45" s="541">
        <v>17650</v>
      </c>
    </row>
    <row r="46" spans="1:4" x14ac:dyDescent="0.25">
      <c r="A46" s="244">
        <v>46228</v>
      </c>
      <c r="B46" s="855" t="s">
        <v>1625</v>
      </c>
      <c r="C46" s="855" t="s">
        <v>842</v>
      </c>
      <c r="D46" s="76">
        <v>16640</v>
      </c>
    </row>
    <row r="47" spans="1:4" x14ac:dyDescent="0.25">
      <c r="A47" s="244">
        <v>46228</v>
      </c>
      <c r="B47" s="855" t="s">
        <v>1626</v>
      </c>
      <c r="C47" s="855" t="s">
        <v>147</v>
      </c>
      <c r="D47" s="76">
        <v>18660</v>
      </c>
    </row>
    <row r="48" spans="1:4" ht="30" x14ac:dyDescent="0.25">
      <c r="A48" s="244">
        <v>46228</v>
      </c>
      <c r="B48" s="854" t="s">
        <v>1627</v>
      </c>
      <c r="C48" s="854" t="s">
        <v>626</v>
      </c>
      <c r="D48" s="541">
        <v>16640</v>
      </c>
    </row>
    <row r="49" spans="1:4" x14ac:dyDescent="0.25">
      <c r="A49" s="244">
        <v>46228</v>
      </c>
      <c r="B49" s="1179" t="s">
        <v>1628</v>
      </c>
      <c r="C49" s="1179" t="s">
        <v>842</v>
      </c>
      <c r="D49" s="719">
        <v>16640</v>
      </c>
    </row>
    <row r="50" spans="1:4" x14ac:dyDescent="0.25">
      <c r="A50" s="744">
        <v>46230</v>
      </c>
      <c r="B50" s="855" t="s">
        <v>1629</v>
      </c>
      <c r="C50" s="855" t="s">
        <v>160</v>
      </c>
      <c r="D50" s="76">
        <v>236918</v>
      </c>
    </row>
    <row r="51" spans="1:4" ht="30" x14ac:dyDescent="0.25">
      <c r="A51" s="744">
        <v>46230</v>
      </c>
      <c r="B51" s="855" t="s">
        <v>1630</v>
      </c>
      <c r="C51" s="855" t="s">
        <v>1193</v>
      </c>
      <c r="D51" s="76">
        <v>20680</v>
      </c>
    </row>
    <row r="52" spans="1:4" x14ac:dyDescent="0.25">
      <c r="A52" s="744">
        <v>46230</v>
      </c>
      <c r="B52" s="855" t="s">
        <v>1631</v>
      </c>
      <c r="C52" s="855" t="s">
        <v>1632</v>
      </c>
      <c r="D52" s="76">
        <v>339200</v>
      </c>
    </row>
    <row r="53" spans="1:4" ht="30" x14ac:dyDescent="0.25">
      <c r="A53" s="744">
        <v>46230</v>
      </c>
      <c r="B53" s="854" t="s">
        <v>1633</v>
      </c>
      <c r="C53" s="854" t="s">
        <v>1193</v>
      </c>
      <c r="D53" s="541">
        <v>45400</v>
      </c>
    </row>
    <row r="54" spans="1:4" ht="30" x14ac:dyDescent="0.25">
      <c r="A54" s="744">
        <v>46230</v>
      </c>
      <c r="B54" s="1180" t="s">
        <v>1634</v>
      </c>
      <c r="C54" s="1180" t="s">
        <v>1193</v>
      </c>
      <c r="D54" s="1105">
        <v>18660</v>
      </c>
    </row>
    <row r="55" spans="1:4" x14ac:dyDescent="0.25">
      <c r="A55" s="744">
        <v>46232</v>
      </c>
      <c r="B55" s="855" t="s">
        <v>1635</v>
      </c>
      <c r="C55" s="855" t="s">
        <v>1636</v>
      </c>
      <c r="D55" s="76">
        <v>200824</v>
      </c>
    </row>
    <row r="56" spans="1:4" x14ac:dyDescent="0.25">
      <c r="A56" s="1026">
        <v>46232</v>
      </c>
      <c r="B56" s="1180" t="s">
        <v>1637</v>
      </c>
      <c r="C56" s="1180" t="s">
        <v>218</v>
      </c>
      <c r="D56" s="1105">
        <v>16640</v>
      </c>
    </row>
    <row r="57" spans="1:4" ht="30" x14ac:dyDescent="0.25">
      <c r="A57" s="1026">
        <v>46233</v>
      </c>
      <c r="B57" s="1104" t="s">
        <v>1638</v>
      </c>
      <c r="C57" s="1104" t="s">
        <v>1193</v>
      </c>
      <c r="D57" s="76">
        <v>37320</v>
      </c>
    </row>
    <row r="58" spans="1:4" x14ac:dyDescent="0.25">
      <c r="A58" s="1026">
        <v>46233</v>
      </c>
      <c r="B58" s="1104" t="s">
        <v>1639</v>
      </c>
      <c r="C58" s="1104" t="s">
        <v>1206</v>
      </c>
      <c r="D58" s="76">
        <v>152048</v>
      </c>
    </row>
    <row r="59" spans="1:4" x14ac:dyDescent="0.25">
      <c r="A59" s="1026">
        <v>46233</v>
      </c>
      <c r="B59" s="856" t="s">
        <v>1640</v>
      </c>
      <c r="C59" s="856" t="s">
        <v>147</v>
      </c>
      <c r="D59" s="541">
        <v>37320</v>
      </c>
    </row>
    <row r="60" spans="1:4" ht="30" x14ac:dyDescent="0.25">
      <c r="A60" s="1026">
        <v>46233</v>
      </c>
      <c r="B60" s="856" t="s">
        <v>1641</v>
      </c>
      <c r="C60" s="856" t="s">
        <v>1193</v>
      </c>
      <c r="D60" s="541">
        <v>20680</v>
      </c>
    </row>
    <row r="61" spans="1:4" x14ac:dyDescent="0.25">
      <c r="A61" s="1026">
        <v>46233</v>
      </c>
      <c r="B61" s="1104" t="s">
        <v>1642</v>
      </c>
      <c r="C61" s="1104" t="s">
        <v>63</v>
      </c>
      <c r="D61" s="76">
        <v>33280</v>
      </c>
    </row>
    <row r="62" spans="1:4" x14ac:dyDescent="0.25">
      <c r="A62" s="1026">
        <v>46233</v>
      </c>
      <c r="B62" s="856" t="s">
        <v>1643</v>
      </c>
      <c r="C62" s="856" t="s">
        <v>809</v>
      </c>
      <c r="D62" s="541">
        <v>104496</v>
      </c>
    </row>
    <row r="63" spans="1:4" x14ac:dyDescent="0.25">
      <c r="A63" s="1026">
        <v>46233</v>
      </c>
      <c r="B63" s="1104" t="s">
        <v>1644</v>
      </c>
      <c r="C63" s="1104" t="s">
        <v>147</v>
      </c>
      <c r="D63" s="76">
        <v>37320</v>
      </c>
    </row>
    <row r="64" spans="1:4" x14ac:dyDescent="0.25">
      <c r="A64" s="1026">
        <v>46233</v>
      </c>
      <c r="B64" s="856" t="s">
        <v>1645</v>
      </c>
      <c r="C64" s="856" t="s">
        <v>147</v>
      </c>
      <c r="D64" s="541">
        <v>18660</v>
      </c>
    </row>
    <row r="65" spans="1:7" x14ac:dyDescent="0.25">
      <c r="A65" s="1026">
        <v>46233</v>
      </c>
      <c r="B65" s="1104" t="s">
        <v>1646</v>
      </c>
      <c r="C65" s="1104" t="s">
        <v>364</v>
      </c>
      <c r="D65" s="76">
        <v>29770</v>
      </c>
    </row>
    <row r="66" spans="1:7" x14ac:dyDescent="0.25">
      <c r="A66" s="1026">
        <v>46233</v>
      </c>
      <c r="B66" s="856" t="s">
        <v>1647</v>
      </c>
      <c r="C66" s="856" t="s">
        <v>898</v>
      </c>
      <c r="D66" s="541">
        <v>28760</v>
      </c>
    </row>
    <row r="67" spans="1:7" x14ac:dyDescent="0.25">
      <c r="A67" s="1026">
        <v>46234</v>
      </c>
      <c r="B67" s="1104" t="s">
        <v>1648</v>
      </c>
      <c r="C67" s="1104" t="s">
        <v>147</v>
      </c>
      <c r="D67" s="76">
        <v>29240</v>
      </c>
    </row>
    <row r="68" spans="1:7" x14ac:dyDescent="0.25">
      <c r="A68" s="1026">
        <v>46234</v>
      </c>
      <c r="B68" s="856" t="s">
        <v>1649</v>
      </c>
      <c r="C68" s="856" t="s">
        <v>1650</v>
      </c>
      <c r="D68" s="541">
        <v>49940</v>
      </c>
    </row>
    <row r="69" spans="1:7" ht="30" x14ac:dyDescent="0.25">
      <c r="A69" s="1026">
        <v>46234</v>
      </c>
      <c r="B69" s="1104" t="s">
        <v>1651</v>
      </c>
      <c r="C69" s="1104" t="s">
        <v>583</v>
      </c>
      <c r="D69" s="76">
        <v>399324</v>
      </c>
    </row>
    <row r="70" spans="1:7" x14ac:dyDescent="0.25">
      <c r="A70" s="1026">
        <v>46234</v>
      </c>
      <c r="B70" s="856" t="s">
        <v>1652</v>
      </c>
      <c r="C70" s="856" t="s">
        <v>1653</v>
      </c>
      <c r="D70" s="541">
        <v>312000</v>
      </c>
    </row>
    <row r="71" spans="1:7" ht="15.75" thickBot="1" x14ac:dyDescent="0.3">
      <c r="A71" s="683"/>
      <c r="B71" s="684"/>
      <c r="C71" s="684"/>
      <c r="D71" s="1107">
        <f>SUM(D6:D70)</f>
        <v>6539852</v>
      </c>
    </row>
    <row r="72" spans="1:7" x14ac:dyDescent="0.25">
      <c r="A72" s="683"/>
      <c r="B72" s="684"/>
      <c r="C72" s="684"/>
      <c r="D72" s="895"/>
    </row>
    <row r="73" spans="1:7" x14ac:dyDescent="0.25">
      <c r="A73" s="683"/>
      <c r="B73" s="684"/>
      <c r="C73" s="684"/>
      <c r="D73" s="895"/>
    </row>
    <row r="74" spans="1:7" x14ac:dyDescent="0.25">
      <c r="A74" s="882"/>
      <c r="B74" s="878"/>
      <c r="C74" s="878" t="s">
        <v>1102</v>
      </c>
      <c r="D74" s="541"/>
      <c r="E74" s="881"/>
      <c r="F74" s="881"/>
      <c r="G74" s="883"/>
    </row>
    <row r="75" spans="1:7" x14ac:dyDescent="0.25">
      <c r="A75" s="883"/>
      <c r="B75" s="892"/>
      <c r="C75" s="883"/>
      <c r="D75" s="884"/>
      <c r="E75" s="881"/>
      <c r="F75" s="881"/>
      <c r="G75" s="883"/>
    </row>
    <row r="76" spans="1:7" x14ac:dyDescent="0.25">
      <c r="A76" s="883"/>
      <c r="B76" s="854" t="s">
        <v>906</v>
      </c>
      <c r="C76" s="856">
        <v>298152</v>
      </c>
      <c r="D76" s="884"/>
      <c r="E76" s="881"/>
      <c r="F76" s="881"/>
      <c r="G76" s="883"/>
    </row>
    <row r="77" spans="1:7" x14ac:dyDescent="0.25">
      <c r="A77" s="883"/>
      <c r="B77" s="854" t="s">
        <v>893</v>
      </c>
      <c r="C77" s="856">
        <v>15150</v>
      </c>
      <c r="D77" s="884"/>
      <c r="E77" s="881"/>
      <c r="F77" s="881"/>
      <c r="G77" s="883"/>
    </row>
    <row r="78" spans="1:7" x14ac:dyDescent="0.25">
      <c r="A78" s="883"/>
      <c r="B78" s="893" t="s">
        <v>972</v>
      </c>
      <c r="C78" s="881">
        <v>38784</v>
      </c>
      <c r="D78" s="884"/>
      <c r="E78" s="881"/>
      <c r="F78" s="881"/>
      <c r="G78" s="883"/>
    </row>
    <row r="79" spans="1:7" x14ac:dyDescent="0.25">
      <c r="A79" s="883"/>
      <c r="B79" s="893" t="s">
        <v>968</v>
      </c>
      <c r="C79" s="881">
        <v>31512</v>
      </c>
      <c r="D79" s="884"/>
      <c r="E79" s="881"/>
      <c r="F79" s="881"/>
      <c r="G79" s="883"/>
    </row>
    <row r="80" spans="1:7" x14ac:dyDescent="0.25">
      <c r="A80" s="883"/>
      <c r="B80" s="892"/>
      <c r="C80" s="883"/>
      <c r="D80" s="884"/>
      <c r="E80" s="881"/>
      <c r="F80" s="881"/>
      <c r="G80" s="883"/>
    </row>
    <row r="81" spans="1:7" x14ac:dyDescent="0.25">
      <c r="A81" s="885"/>
      <c r="B81" s="286" t="s">
        <v>470</v>
      </c>
      <c r="C81" s="286" t="s">
        <v>214</v>
      </c>
      <c r="D81" s="287">
        <v>36360</v>
      </c>
      <c r="E81" s="880"/>
      <c r="F81" s="880" t="s">
        <v>562</v>
      </c>
      <c r="G81" s="885"/>
    </row>
    <row r="82" spans="1:7" x14ac:dyDescent="0.25">
      <c r="A82" s="885"/>
      <c r="B82" s="558" t="s">
        <v>519</v>
      </c>
      <c r="C82" s="558" t="s">
        <v>46</v>
      </c>
      <c r="D82" s="563">
        <v>194324</v>
      </c>
      <c r="E82" s="880"/>
      <c r="F82" s="886"/>
      <c r="G82" s="885"/>
    </row>
    <row r="83" spans="1:7" x14ac:dyDescent="0.25">
      <c r="A83" s="882">
        <v>46068</v>
      </c>
      <c r="B83" s="854" t="s">
        <v>837</v>
      </c>
      <c r="C83" s="854" t="s">
        <v>838</v>
      </c>
      <c r="D83" s="541">
        <v>336936</v>
      </c>
      <c r="E83" s="881"/>
      <c r="F83" s="881" t="s">
        <v>991</v>
      </c>
      <c r="G83" s="883"/>
    </row>
    <row r="84" spans="1:7" x14ac:dyDescent="0.25">
      <c r="A84" s="882">
        <v>46079</v>
      </c>
      <c r="B84" s="614" t="s">
        <v>893</v>
      </c>
      <c r="C84" s="614" t="s">
        <v>48</v>
      </c>
      <c r="D84" s="165">
        <v>15150</v>
      </c>
      <c r="E84" s="881"/>
      <c r="F84" s="881" t="s">
        <v>992</v>
      </c>
      <c r="G84" s="883"/>
    </row>
    <row r="85" spans="1:7" x14ac:dyDescent="0.25">
      <c r="A85" s="883"/>
      <c r="B85" s="894" t="s">
        <v>1103</v>
      </c>
      <c r="C85" s="883"/>
      <c r="D85" s="541">
        <v>252096</v>
      </c>
      <c r="E85" s="881"/>
      <c r="F85" s="887" t="s">
        <v>1104</v>
      </c>
      <c r="G85" s="888"/>
    </row>
    <row r="86" spans="1:7" x14ac:dyDescent="0.25">
      <c r="A86" s="883"/>
      <c r="B86" s="894" t="s">
        <v>1105</v>
      </c>
      <c r="C86" s="883"/>
      <c r="D86" s="884">
        <v>58176</v>
      </c>
      <c r="E86" s="881"/>
      <c r="F86" s="881"/>
      <c r="G86" s="883"/>
    </row>
    <row r="87" spans="1:7" x14ac:dyDescent="0.25">
      <c r="A87" s="883"/>
      <c r="B87" s="893" t="s">
        <v>1119</v>
      </c>
      <c r="C87" s="883"/>
      <c r="D87" s="884">
        <v>14140</v>
      </c>
      <c r="E87" s="881"/>
      <c r="F87" s="881"/>
      <c r="G87" s="883"/>
    </row>
    <row r="88" spans="1:7" x14ac:dyDescent="0.25">
      <c r="A88" s="889"/>
      <c r="B88" s="249" t="s">
        <v>1227</v>
      </c>
      <c r="C88" s="889"/>
      <c r="D88" s="890">
        <v>14140</v>
      </c>
      <c r="E88" s="891"/>
      <c r="F88" s="881"/>
      <c r="G88" s="883"/>
    </row>
    <row r="89" spans="1:7" x14ac:dyDescent="0.25">
      <c r="B89" s="142"/>
      <c r="C89" s="1125"/>
      <c r="D89" s="1126"/>
      <c r="E89" s="1127"/>
      <c r="F89" s="113"/>
    </row>
    <row r="90" spans="1:7" x14ac:dyDescent="0.25">
      <c r="B90" s="142"/>
      <c r="C90" s="1125"/>
      <c r="D90" s="1126"/>
      <c r="E90" s="1126"/>
      <c r="F90" s="113"/>
    </row>
    <row r="91" spans="1:7" x14ac:dyDescent="0.25">
      <c r="B91" s="144"/>
      <c r="C91" s="1125"/>
      <c r="D91" s="1126"/>
      <c r="E91" s="1126"/>
      <c r="F91" s="113"/>
    </row>
    <row r="92" spans="1:7" x14ac:dyDescent="0.25">
      <c r="B92" s="144"/>
      <c r="C92" s="1125"/>
      <c r="D92" s="1126"/>
      <c r="E92" s="1127"/>
      <c r="F92" s="113"/>
    </row>
    <row r="93" spans="1:7" ht="15.75" thickBot="1" x14ac:dyDescent="0.3">
      <c r="B93" s="142"/>
      <c r="C93" s="1125"/>
      <c r="D93" s="1126"/>
      <c r="E93" s="1127"/>
      <c r="F93" s="113"/>
    </row>
    <row r="94" spans="1:7" ht="15.75" thickBot="1" x14ac:dyDescent="0.3">
      <c r="B94" s="1128"/>
      <c r="C94" s="1128"/>
      <c r="D94" s="1126"/>
      <c r="E94" s="1127"/>
      <c r="F94" s="113"/>
    </row>
    <row r="95" spans="1:7" x14ac:dyDescent="0.25">
      <c r="B95" s="144"/>
      <c r="C95" s="1125"/>
      <c r="D95" s="1126"/>
      <c r="E95" s="1127"/>
      <c r="F95" s="113"/>
    </row>
    <row r="96" spans="1:7" x14ac:dyDescent="0.25">
      <c r="B96" s="144"/>
      <c r="C96" s="1125"/>
      <c r="D96" s="1126"/>
      <c r="E96" s="1127"/>
      <c r="F96" s="113"/>
    </row>
    <row r="97" spans="2:6" ht="15.75" thickBot="1" x14ac:dyDescent="0.3">
      <c r="B97" s="144"/>
      <c r="C97" s="1125"/>
      <c r="D97" s="1126"/>
      <c r="E97" s="1127"/>
      <c r="F97" s="113"/>
    </row>
    <row r="98" spans="2:6" ht="15.75" thickBot="1" x14ac:dyDescent="0.3">
      <c r="B98" s="1129"/>
      <c r="C98" s="1129"/>
      <c r="D98" s="1126"/>
      <c r="E98" s="1127"/>
      <c r="F98" s="113"/>
    </row>
    <row r="99" spans="2:6" x14ac:dyDescent="0.25">
      <c r="B99" s="144"/>
      <c r="C99" s="1125"/>
      <c r="D99" s="1126"/>
      <c r="E99" s="1127"/>
      <c r="F99" s="113"/>
    </row>
    <row r="100" spans="2:6" x14ac:dyDescent="0.25">
      <c r="B100" s="142"/>
      <c r="C100" s="1125"/>
      <c r="D100" s="1126"/>
      <c r="E100" s="1127"/>
      <c r="F100" s="113"/>
    </row>
    <row r="101" spans="2:6" ht="15.75" thickBot="1" x14ac:dyDescent="0.3">
      <c r="B101" s="142"/>
      <c r="C101" s="1125"/>
      <c r="D101" s="1126"/>
      <c r="E101" s="1127"/>
      <c r="F101" s="113"/>
    </row>
    <row r="102" spans="2:6" ht="15.75" thickBot="1" x14ac:dyDescent="0.3">
      <c r="B102" s="1129"/>
      <c r="C102" s="1129"/>
      <c r="D102" s="1126"/>
      <c r="E102" s="1127"/>
      <c r="F102" s="113"/>
    </row>
    <row r="103" spans="2:6" x14ac:dyDescent="0.25">
      <c r="B103" s="144"/>
      <c r="C103" s="1125"/>
      <c r="D103" s="1126"/>
      <c r="E103" s="1127"/>
      <c r="F103" s="113"/>
    </row>
    <row r="104" spans="2:6" x14ac:dyDescent="0.25">
      <c r="B104" s="142"/>
      <c r="C104" s="1125"/>
      <c r="D104" s="1126"/>
      <c r="E104" s="1130"/>
      <c r="F104" s="113"/>
    </row>
    <row r="105" spans="2:6" x14ac:dyDescent="0.25">
      <c r="B105" s="142"/>
      <c r="E105" s="113"/>
      <c r="F105" s="113"/>
    </row>
    <row r="106" spans="2:6" x14ac:dyDescent="0.25">
      <c r="B106" s="144"/>
      <c r="E106" s="113"/>
      <c r="F106" s="113"/>
    </row>
    <row r="107" spans="2:6" x14ac:dyDescent="0.25">
      <c r="B107" s="144"/>
      <c r="E107" s="113"/>
      <c r="F107" s="113"/>
    </row>
    <row r="108" spans="2:6" x14ac:dyDescent="0.25">
      <c r="B108" s="144"/>
      <c r="E108" s="113"/>
      <c r="F108" s="113"/>
    </row>
    <row r="109" spans="2:6" x14ac:dyDescent="0.25">
      <c r="B109" s="144"/>
      <c r="E109" s="113"/>
      <c r="F109" s="113"/>
    </row>
    <row r="110" spans="2:6" x14ac:dyDescent="0.25">
      <c r="B110" s="144"/>
      <c r="E110" s="113"/>
      <c r="F110" s="113"/>
    </row>
    <row r="111" spans="2:6" x14ac:dyDescent="0.25">
      <c r="B111" s="144"/>
      <c r="E111" s="113"/>
      <c r="F111" s="113"/>
    </row>
    <row r="112" spans="2:6" x14ac:dyDescent="0.25">
      <c r="B112" s="144"/>
      <c r="E112" s="113"/>
      <c r="F112" s="113"/>
    </row>
    <row r="113" spans="2:6" x14ac:dyDescent="0.25">
      <c r="B113" s="142"/>
      <c r="E113" s="113"/>
      <c r="F113" s="113"/>
    </row>
    <row r="114" spans="2:6" ht="15.75" thickBot="1" x14ac:dyDescent="0.3">
      <c r="B114" s="144"/>
      <c r="E114" s="113"/>
      <c r="F114" s="113"/>
    </row>
    <row r="115" spans="2:6" ht="15.75" thickBot="1" x14ac:dyDescent="0.3">
      <c r="B115" s="1129"/>
      <c r="C115" s="1131"/>
      <c r="E115" s="113"/>
      <c r="F115" s="113"/>
    </row>
    <row r="116" spans="2:6" x14ac:dyDescent="0.25">
      <c r="B116" s="142"/>
      <c r="E116" s="113"/>
      <c r="F116" s="113"/>
    </row>
    <row r="117" spans="2:6" x14ac:dyDescent="0.25">
      <c r="B117" s="142"/>
      <c r="E117" s="113"/>
      <c r="F117" s="113"/>
    </row>
    <row r="118" spans="2:6" x14ac:dyDescent="0.25">
      <c r="B118" s="142"/>
      <c r="E118" s="113"/>
      <c r="F118" s="113"/>
    </row>
    <row r="119" spans="2:6" x14ac:dyDescent="0.25">
      <c r="B119" s="142"/>
      <c r="E119" s="113"/>
      <c r="F119" s="113"/>
    </row>
    <row r="120" spans="2:6" x14ac:dyDescent="0.25">
      <c r="B120" s="144"/>
      <c r="E120" s="113"/>
      <c r="F120" s="113"/>
    </row>
    <row r="121" spans="2:6" x14ac:dyDescent="0.25">
      <c r="E121" s="113"/>
      <c r="F121" s="113"/>
    </row>
  </sheetData>
  <mergeCells count="4">
    <mergeCell ref="A3:E3"/>
    <mergeCell ref="A4:A5"/>
    <mergeCell ref="B4:B5"/>
    <mergeCell ref="C4:C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4:N918"/>
  <sheetViews>
    <sheetView topLeftCell="A882" workbookViewId="0">
      <selection activeCell="D845" sqref="D845"/>
    </sheetView>
  </sheetViews>
  <sheetFormatPr defaultRowHeight="15" x14ac:dyDescent="0.25"/>
  <cols>
    <col min="1" max="1" width="10.7109375" bestFit="1" customWidth="1"/>
    <col min="2" max="2" width="31.42578125" customWidth="1"/>
    <col min="3" max="3" width="28.5703125" customWidth="1"/>
    <col min="4" max="4" width="22.42578125" customWidth="1"/>
    <col min="5" max="5" width="12" customWidth="1"/>
    <col min="6" max="6" width="14.7109375" customWidth="1"/>
    <col min="7" max="7" width="11.85546875" customWidth="1"/>
    <col min="8" max="8" width="12.5703125" customWidth="1"/>
    <col min="9" max="9" width="10.5703125" bestFit="1" customWidth="1"/>
    <col min="10" max="10" width="23.85546875" customWidth="1"/>
    <col min="11" max="11" width="25.42578125" customWidth="1"/>
    <col min="12" max="12" width="9.5703125" bestFit="1" customWidth="1"/>
    <col min="13" max="13" width="13.42578125" customWidth="1"/>
  </cols>
  <sheetData>
    <row r="4" spans="1:8" x14ac:dyDescent="0.25">
      <c r="A4" s="44">
        <v>45976</v>
      </c>
      <c r="B4" s="48" t="s">
        <v>20</v>
      </c>
      <c r="C4" s="45" t="s">
        <v>22</v>
      </c>
      <c r="D4" s="45" t="s">
        <v>24</v>
      </c>
      <c r="E4" s="41" t="s">
        <v>27</v>
      </c>
      <c r="F4" s="52"/>
      <c r="G4" s="41" t="s">
        <v>38</v>
      </c>
      <c r="H4" s="18">
        <v>16160</v>
      </c>
    </row>
    <row r="5" spans="1:8" x14ac:dyDescent="0.25">
      <c r="A5" s="44"/>
      <c r="B5" s="42" t="s">
        <v>28</v>
      </c>
      <c r="C5" s="43" t="s">
        <v>22</v>
      </c>
      <c r="D5" s="43" t="s">
        <v>29</v>
      </c>
      <c r="E5" s="41" t="s">
        <v>27</v>
      </c>
      <c r="F5" s="52"/>
      <c r="G5" s="41" t="s">
        <v>38</v>
      </c>
      <c r="H5" s="47">
        <v>15150</v>
      </c>
    </row>
    <row r="6" spans="1:8" x14ac:dyDescent="0.25">
      <c r="A6" s="44"/>
      <c r="B6" s="42" t="s">
        <v>30</v>
      </c>
      <c r="C6" s="42" t="s">
        <v>22</v>
      </c>
      <c r="D6" s="43" t="s">
        <v>31</v>
      </c>
      <c r="E6" s="41" t="s">
        <v>27</v>
      </c>
      <c r="F6" s="52"/>
      <c r="G6" s="41" t="s">
        <v>38</v>
      </c>
      <c r="H6" s="47">
        <v>20200</v>
      </c>
    </row>
    <row r="7" spans="1:8" x14ac:dyDescent="0.25">
      <c r="A7" s="44"/>
      <c r="B7" s="48" t="s">
        <v>32</v>
      </c>
      <c r="C7" s="45" t="s">
        <v>22</v>
      </c>
      <c r="D7" s="45" t="s">
        <v>33</v>
      </c>
      <c r="E7" s="41" t="s">
        <v>27</v>
      </c>
      <c r="F7" s="58" t="e">
        <f>+SUM(#REF!)</f>
        <v>#REF!</v>
      </c>
      <c r="G7" s="41" t="s">
        <v>38</v>
      </c>
      <c r="H7" s="47">
        <v>14140</v>
      </c>
    </row>
    <row r="8" spans="1:8" x14ac:dyDescent="0.25">
      <c r="A8" s="44">
        <v>45977</v>
      </c>
      <c r="B8" s="43" t="s">
        <v>43</v>
      </c>
      <c r="C8" s="43" t="s">
        <v>41</v>
      </c>
      <c r="D8" s="42" t="s">
        <v>42</v>
      </c>
      <c r="E8" s="41" t="s">
        <v>27</v>
      </c>
      <c r="F8" s="46">
        <v>26664</v>
      </c>
      <c r="G8" s="41" t="s">
        <v>38</v>
      </c>
      <c r="H8" s="47">
        <v>26664</v>
      </c>
    </row>
    <row r="9" spans="1:8" x14ac:dyDescent="0.25">
      <c r="A9" s="44">
        <v>45978</v>
      </c>
      <c r="B9" s="43" t="s">
        <v>50</v>
      </c>
      <c r="C9" s="43" t="s">
        <v>44</v>
      </c>
      <c r="D9" s="42" t="s">
        <v>45</v>
      </c>
      <c r="E9" s="41" t="s">
        <v>27</v>
      </c>
      <c r="F9" s="46"/>
      <c r="G9" s="41" t="s">
        <v>38</v>
      </c>
      <c r="H9" s="47">
        <v>28278</v>
      </c>
    </row>
    <row r="10" spans="1:8" x14ac:dyDescent="0.25">
      <c r="A10" s="44">
        <v>45978</v>
      </c>
      <c r="B10" s="45" t="s">
        <v>51</v>
      </c>
      <c r="C10" s="45" t="s">
        <v>46</v>
      </c>
      <c r="D10" s="45" t="s">
        <v>47</v>
      </c>
      <c r="E10" s="41" t="s">
        <v>27</v>
      </c>
      <c r="F10" s="41"/>
      <c r="G10" s="41" t="s">
        <v>38</v>
      </c>
      <c r="H10" s="47">
        <v>109888</v>
      </c>
    </row>
    <row r="11" spans="1:8" x14ac:dyDescent="0.25">
      <c r="A11" s="44">
        <v>45978</v>
      </c>
      <c r="B11" s="45" t="s">
        <v>52</v>
      </c>
      <c r="C11" s="45" t="s">
        <v>48</v>
      </c>
      <c r="D11" s="45" t="s">
        <v>49</v>
      </c>
      <c r="E11" s="41" t="s">
        <v>27</v>
      </c>
      <c r="F11" s="46" t="e">
        <f>#REF!+#REF!+#REF!</f>
        <v>#REF!</v>
      </c>
      <c r="G11" s="41" t="s">
        <v>38</v>
      </c>
      <c r="H11" s="47">
        <v>105039</v>
      </c>
    </row>
    <row r="12" spans="1:8" x14ac:dyDescent="0.25">
      <c r="A12" s="44">
        <v>45979</v>
      </c>
      <c r="B12" s="43" t="s">
        <v>53</v>
      </c>
      <c r="C12" s="43" t="s">
        <v>22</v>
      </c>
      <c r="D12" s="43" t="s">
        <v>54</v>
      </c>
      <c r="E12" s="41" t="s">
        <v>27</v>
      </c>
      <c r="F12" s="52"/>
      <c r="G12" s="41" t="s">
        <v>38</v>
      </c>
      <c r="H12" s="47">
        <v>28280</v>
      </c>
    </row>
    <row r="13" spans="1:8" x14ac:dyDescent="0.25">
      <c r="A13" s="44"/>
      <c r="B13" s="43" t="s">
        <v>55</v>
      </c>
      <c r="C13" s="43" t="s">
        <v>48</v>
      </c>
      <c r="D13" s="42" t="s">
        <v>56</v>
      </c>
      <c r="E13" s="41" t="s">
        <v>27</v>
      </c>
      <c r="F13" s="52"/>
      <c r="G13" s="41" t="s">
        <v>38</v>
      </c>
      <c r="H13" s="47">
        <v>15150</v>
      </c>
    </row>
    <row r="14" spans="1:8" x14ac:dyDescent="0.25">
      <c r="A14" s="44"/>
      <c r="B14" s="45" t="s">
        <v>58</v>
      </c>
      <c r="C14" s="45" t="s">
        <v>22</v>
      </c>
      <c r="D14" s="45" t="s">
        <v>57</v>
      </c>
      <c r="E14" s="41" t="s">
        <v>27</v>
      </c>
      <c r="F14" s="52"/>
      <c r="G14" s="41" t="s">
        <v>38</v>
      </c>
      <c r="H14" s="47">
        <v>15150</v>
      </c>
    </row>
    <row r="15" spans="1:8" x14ac:dyDescent="0.25">
      <c r="A15" s="44"/>
      <c r="B15" s="43" t="s">
        <v>59</v>
      </c>
      <c r="C15" s="42" t="s">
        <v>60</v>
      </c>
      <c r="D15" s="42" t="s">
        <v>61</v>
      </c>
      <c r="E15" s="41" t="s">
        <v>27</v>
      </c>
      <c r="F15" s="52"/>
      <c r="G15" s="41" t="s">
        <v>38</v>
      </c>
      <c r="H15" s="47">
        <v>45248</v>
      </c>
    </row>
    <row r="16" spans="1:8" x14ac:dyDescent="0.25">
      <c r="A16" s="44"/>
      <c r="B16" s="43" t="s">
        <v>62</v>
      </c>
      <c r="C16" s="43" t="s">
        <v>63</v>
      </c>
      <c r="D16" s="43" t="s">
        <v>64</v>
      </c>
      <c r="E16" s="41" t="s">
        <v>27</v>
      </c>
      <c r="F16" s="53">
        <v>117968</v>
      </c>
      <c r="G16" s="41" t="s">
        <v>38</v>
      </c>
      <c r="H16" s="47">
        <v>14140</v>
      </c>
    </row>
    <row r="17" spans="1:8" x14ac:dyDescent="0.25">
      <c r="A17" s="44">
        <v>45980</v>
      </c>
      <c r="B17" s="43" t="s">
        <v>65</v>
      </c>
      <c r="C17" s="43" t="s">
        <v>46</v>
      </c>
      <c r="D17" s="42" t="s">
        <v>66</v>
      </c>
      <c r="E17" s="41" t="s">
        <v>27</v>
      </c>
      <c r="F17" s="52"/>
      <c r="G17" s="41" t="s">
        <v>38</v>
      </c>
      <c r="H17" s="47">
        <v>75750</v>
      </c>
    </row>
    <row r="18" spans="1:8" x14ac:dyDescent="0.25">
      <c r="A18" s="44"/>
      <c r="B18" s="45" t="s">
        <v>68</v>
      </c>
      <c r="C18" s="45" t="s">
        <v>46</v>
      </c>
      <c r="D18" s="45" t="s">
        <v>67</v>
      </c>
      <c r="E18" s="41" t="s">
        <v>27</v>
      </c>
      <c r="F18" s="52"/>
      <c r="G18" s="41" t="s">
        <v>40</v>
      </c>
      <c r="H18" s="18">
        <v>84032</v>
      </c>
    </row>
    <row r="19" spans="1:8" x14ac:dyDescent="0.25">
      <c r="A19" s="54"/>
      <c r="B19" s="55" t="s">
        <v>71</v>
      </c>
      <c r="C19" s="54" t="s">
        <v>70</v>
      </c>
      <c r="D19" s="54" t="s">
        <v>69</v>
      </c>
      <c r="E19" s="54" t="s">
        <v>27</v>
      </c>
      <c r="F19" s="56">
        <v>0</v>
      </c>
      <c r="G19" s="54" t="s">
        <v>38</v>
      </c>
      <c r="H19" s="57">
        <v>20200</v>
      </c>
    </row>
    <row r="20" spans="1:8" x14ac:dyDescent="0.25">
      <c r="A20" s="44">
        <v>45981</v>
      </c>
      <c r="B20" s="43" t="s">
        <v>72</v>
      </c>
      <c r="C20" s="43" t="s">
        <v>22</v>
      </c>
      <c r="D20" s="43" t="s">
        <v>73</v>
      </c>
      <c r="E20" s="41" t="s">
        <v>27</v>
      </c>
      <c r="F20" s="52"/>
      <c r="G20" s="41" t="s">
        <v>38</v>
      </c>
      <c r="H20" s="47">
        <v>20200</v>
      </c>
    </row>
    <row r="21" spans="1:8" x14ac:dyDescent="0.25">
      <c r="A21" s="41"/>
      <c r="B21" s="43" t="s">
        <v>74</v>
      </c>
      <c r="C21" s="43" t="s">
        <v>22</v>
      </c>
      <c r="D21" s="43" t="s">
        <v>75</v>
      </c>
      <c r="E21" s="41" t="s">
        <v>27</v>
      </c>
      <c r="F21" s="52"/>
      <c r="G21" s="41" t="s">
        <v>38</v>
      </c>
      <c r="H21" s="47">
        <v>18180</v>
      </c>
    </row>
    <row r="22" spans="1:8" x14ac:dyDescent="0.25">
      <c r="A22" s="41"/>
      <c r="B22" s="48" t="s">
        <v>77</v>
      </c>
      <c r="C22" s="45" t="s">
        <v>22</v>
      </c>
      <c r="D22" s="45" t="s">
        <v>76</v>
      </c>
      <c r="E22" s="41" t="s">
        <v>27</v>
      </c>
      <c r="F22" s="52"/>
      <c r="G22" s="41" t="s">
        <v>38</v>
      </c>
      <c r="H22" s="47">
        <v>15150</v>
      </c>
    </row>
    <row r="23" spans="1:8" x14ac:dyDescent="0.25">
      <c r="A23" s="41"/>
      <c r="B23" s="43" t="s">
        <v>80</v>
      </c>
      <c r="C23" s="43" t="s">
        <v>46</v>
      </c>
      <c r="D23" s="43" t="s">
        <v>81</v>
      </c>
      <c r="E23" s="41" t="s">
        <v>27</v>
      </c>
      <c r="F23" s="52"/>
      <c r="G23" s="41" t="s">
        <v>38</v>
      </c>
      <c r="H23" s="47">
        <v>78780</v>
      </c>
    </row>
    <row r="24" spans="1:8" x14ac:dyDescent="0.25">
      <c r="A24" s="41"/>
      <c r="B24" s="43" t="s">
        <v>82</v>
      </c>
      <c r="C24" s="43" t="s">
        <v>83</v>
      </c>
      <c r="D24" s="43" t="s">
        <v>84</v>
      </c>
      <c r="E24" s="41" t="s">
        <v>27</v>
      </c>
      <c r="F24" s="52"/>
      <c r="G24" s="41" t="s">
        <v>38</v>
      </c>
      <c r="H24" s="47">
        <v>35552</v>
      </c>
    </row>
    <row r="25" spans="1:8" x14ac:dyDescent="0.25">
      <c r="A25" s="41"/>
      <c r="B25" s="45" t="s">
        <v>87</v>
      </c>
      <c r="C25" s="45" t="s">
        <v>86</v>
      </c>
      <c r="D25" s="45" t="s">
        <v>85</v>
      </c>
      <c r="E25" s="41" t="s">
        <v>27</v>
      </c>
      <c r="F25" s="52"/>
      <c r="G25" s="41" t="s">
        <v>38</v>
      </c>
      <c r="H25" s="47">
        <v>219675</v>
      </c>
    </row>
    <row r="26" spans="1:8" x14ac:dyDescent="0.25">
      <c r="A26" s="41"/>
      <c r="B26" s="45" t="s">
        <v>88</v>
      </c>
      <c r="C26" s="45" t="s">
        <v>86</v>
      </c>
      <c r="D26" s="45" t="s">
        <v>89</v>
      </c>
      <c r="E26" s="41" t="s">
        <v>27</v>
      </c>
      <c r="F26" s="53" t="e">
        <f>SUM(#REF!)</f>
        <v>#REF!</v>
      </c>
      <c r="G26" s="41"/>
      <c r="H26" s="47">
        <v>42420</v>
      </c>
    </row>
    <row r="27" spans="1:8" x14ac:dyDescent="0.25">
      <c r="A27" s="44">
        <v>45982</v>
      </c>
      <c r="B27" s="45" t="s">
        <v>90</v>
      </c>
      <c r="C27" s="45" t="s">
        <v>22</v>
      </c>
      <c r="D27" s="45" t="s">
        <v>54</v>
      </c>
      <c r="E27" s="41" t="s">
        <v>27</v>
      </c>
      <c r="F27" s="52"/>
      <c r="G27" s="41" t="s">
        <v>38</v>
      </c>
      <c r="H27" s="47">
        <v>14140</v>
      </c>
    </row>
    <row r="28" spans="1:8" x14ac:dyDescent="0.25">
      <c r="A28" s="41"/>
      <c r="B28" s="43" t="s">
        <v>91</v>
      </c>
      <c r="C28" s="43" t="s">
        <v>22</v>
      </c>
      <c r="D28" s="43" t="s">
        <v>92</v>
      </c>
      <c r="E28" s="41" t="s">
        <v>27</v>
      </c>
      <c r="F28" s="52"/>
      <c r="G28" s="41" t="s">
        <v>38</v>
      </c>
      <c r="H28" s="47">
        <v>15150</v>
      </c>
    </row>
    <row r="29" spans="1:8" x14ac:dyDescent="0.25">
      <c r="A29" s="41"/>
      <c r="B29" s="43" t="s">
        <v>95</v>
      </c>
      <c r="C29" s="43" t="s">
        <v>94</v>
      </c>
      <c r="D29" s="43" t="s">
        <v>93</v>
      </c>
      <c r="E29" s="41" t="s">
        <v>27</v>
      </c>
      <c r="F29" s="52"/>
      <c r="G29" s="41" t="s">
        <v>38</v>
      </c>
      <c r="H29" s="47">
        <v>77568</v>
      </c>
    </row>
    <row r="30" spans="1:8" x14ac:dyDescent="0.25">
      <c r="A30" s="41"/>
      <c r="B30" s="48" t="s">
        <v>96</v>
      </c>
      <c r="C30" s="45" t="s">
        <v>86</v>
      </c>
      <c r="D30" s="45" t="s">
        <v>97</v>
      </c>
      <c r="E30" s="41" t="s">
        <v>27</v>
      </c>
      <c r="F30" s="52"/>
      <c r="G30" s="41" t="s">
        <v>38</v>
      </c>
      <c r="H30" s="47">
        <v>24240</v>
      </c>
    </row>
    <row r="31" spans="1:8" x14ac:dyDescent="0.25">
      <c r="A31" s="9"/>
      <c r="B31" s="11" t="s">
        <v>100</v>
      </c>
      <c r="C31" s="11" t="s">
        <v>99</v>
      </c>
      <c r="D31" s="11" t="s">
        <v>98</v>
      </c>
      <c r="E31" s="9" t="s">
        <v>27</v>
      </c>
      <c r="F31" s="10"/>
      <c r="G31" s="9" t="s">
        <v>38</v>
      </c>
      <c r="H31" s="18">
        <v>14140</v>
      </c>
    </row>
    <row r="32" spans="1:8" x14ac:dyDescent="0.25">
      <c r="A32" s="41"/>
      <c r="B32" s="45" t="s">
        <v>101</v>
      </c>
      <c r="C32" s="45" t="s">
        <v>102</v>
      </c>
      <c r="D32" s="45" t="s">
        <v>103</v>
      </c>
      <c r="E32" s="41" t="s">
        <v>104</v>
      </c>
      <c r="F32" s="52" t="e">
        <f>SUM(#REF!)</f>
        <v>#REF!</v>
      </c>
      <c r="G32" s="41" t="s">
        <v>38</v>
      </c>
      <c r="H32" s="47">
        <v>52521</v>
      </c>
    </row>
    <row r="33" spans="1:8" x14ac:dyDescent="0.25">
      <c r="A33" s="44">
        <v>45983</v>
      </c>
      <c r="B33" s="45" t="s">
        <v>105</v>
      </c>
      <c r="C33" s="45" t="s">
        <v>48</v>
      </c>
      <c r="D33" s="45" t="s">
        <v>106</v>
      </c>
      <c r="E33" s="41" t="s">
        <v>27</v>
      </c>
      <c r="F33" s="52"/>
      <c r="G33" s="41" t="s">
        <v>38</v>
      </c>
      <c r="H33" s="47">
        <v>50499</v>
      </c>
    </row>
    <row r="34" spans="1:8" ht="15.75" thickBot="1" x14ac:dyDescent="0.3">
      <c r="A34" s="44">
        <v>45983</v>
      </c>
      <c r="B34" s="43" t="s">
        <v>107</v>
      </c>
      <c r="C34" s="43" t="s">
        <v>48</v>
      </c>
      <c r="D34" s="43" t="s">
        <v>56</v>
      </c>
      <c r="E34" s="52"/>
      <c r="F34" s="52"/>
      <c r="G34" s="41" t="s">
        <v>38</v>
      </c>
      <c r="H34" s="47">
        <v>15150</v>
      </c>
    </row>
    <row r="35" spans="1:8" ht="15.75" thickBot="1" x14ac:dyDescent="0.3">
      <c r="A35" s="44">
        <v>45983</v>
      </c>
      <c r="B35" s="45" t="s">
        <v>108</v>
      </c>
      <c r="C35" s="45" t="s">
        <v>46</v>
      </c>
      <c r="D35" s="45" t="s">
        <v>109</v>
      </c>
      <c r="E35" s="52"/>
      <c r="F35" s="52"/>
      <c r="G35" s="41" t="s">
        <v>38</v>
      </c>
      <c r="H35" s="49">
        <v>84032</v>
      </c>
    </row>
    <row r="36" spans="1:8" x14ac:dyDescent="0.25">
      <c r="A36" s="44">
        <v>45983</v>
      </c>
      <c r="B36" s="45" t="s">
        <v>112</v>
      </c>
      <c r="C36" s="41" t="s">
        <v>113</v>
      </c>
      <c r="D36" s="41" t="s">
        <v>114</v>
      </c>
      <c r="E36" s="52"/>
      <c r="F36" s="52"/>
      <c r="G36" s="41" t="s">
        <v>38</v>
      </c>
      <c r="H36" s="47">
        <v>48480</v>
      </c>
    </row>
    <row r="37" spans="1:8" x14ac:dyDescent="0.25">
      <c r="A37" s="44">
        <v>45983</v>
      </c>
      <c r="B37" s="45" t="s">
        <v>110</v>
      </c>
      <c r="C37" s="45" t="s">
        <v>46</v>
      </c>
      <c r="D37" s="41" t="s">
        <v>111</v>
      </c>
      <c r="E37" s="52"/>
      <c r="F37" s="59" t="e">
        <f>+SUM(#REF!)</f>
        <v>#REF!</v>
      </c>
      <c r="G37" s="41" t="s">
        <v>38</v>
      </c>
      <c r="H37" s="47">
        <v>96960</v>
      </c>
    </row>
    <row r="38" spans="1:8" x14ac:dyDescent="0.25">
      <c r="A38" s="50">
        <v>45985</v>
      </c>
      <c r="B38" s="48" t="s">
        <v>115</v>
      </c>
      <c r="C38" s="40" t="s">
        <v>116</v>
      </c>
      <c r="D38" s="40" t="s">
        <v>117</v>
      </c>
      <c r="E38" s="39"/>
      <c r="F38" s="39"/>
      <c r="G38" s="41" t="s">
        <v>38</v>
      </c>
      <c r="H38" s="47">
        <v>20000</v>
      </c>
    </row>
    <row r="39" spans="1:8" ht="15.75" customHeight="1" x14ac:dyDescent="0.25">
      <c r="A39" s="50">
        <v>45985</v>
      </c>
      <c r="B39" s="48" t="s">
        <v>121</v>
      </c>
      <c r="C39" s="40" t="s">
        <v>86</v>
      </c>
      <c r="D39" s="40" t="s">
        <v>125</v>
      </c>
      <c r="E39" s="39"/>
      <c r="F39" s="39"/>
      <c r="G39" s="41" t="s">
        <v>38</v>
      </c>
      <c r="H39" s="47">
        <v>109080</v>
      </c>
    </row>
    <row r="40" spans="1:8" x14ac:dyDescent="0.25">
      <c r="A40" s="50">
        <v>45985</v>
      </c>
      <c r="B40" s="45" t="s">
        <v>122</v>
      </c>
      <c r="C40" s="40" t="s">
        <v>123</v>
      </c>
      <c r="D40" s="40" t="s">
        <v>124</v>
      </c>
      <c r="E40" s="39"/>
      <c r="F40" s="51" t="e">
        <f>SUM(#REF!)</f>
        <v>#REF!</v>
      </c>
      <c r="G40" s="41" t="s">
        <v>38</v>
      </c>
      <c r="H40" s="47">
        <v>212100</v>
      </c>
    </row>
    <row r="41" spans="1:8" x14ac:dyDescent="0.25">
      <c r="A41" s="44">
        <v>45987</v>
      </c>
      <c r="B41" s="43" t="s">
        <v>126</v>
      </c>
      <c r="C41" s="43" t="s">
        <v>22</v>
      </c>
      <c r="D41" s="43" t="s">
        <v>54</v>
      </c>
      <c r="E41" s="41" t="s">
        <v>27</v>
      </c>
      <c r="F41" s="39"/>
      <c r="G41" s="40" t="s">
        <v>38</v>
      </c>
      <c r="H41" s="47">
        <v>28278</v>
      </c>
    </row>
    <row r="42" spans="1:8" x14ac:dyDescent="0.25">
      <c r="A42" s="44">
        <v>45987</v>
      </c>
      <c r="B42" s="45" t="s">
        <v>127</v>
      </c>
      <c r="C42" s="45" t="s">
        <v>48</v>
      </c>
      <c r="D42" s="45" t="s">
        <v>128</v>
      </c>
      <c r="E42" s="41" t="s">
        <v>27</v>
      </c>
      <c r="F42" s="39"/>
      <c r="G42" s="40" t="s">
        <v>38</v>
      </c>
      <c r="H42" s="47">
        <v>24240</v>
      </c>
    </row>
    <row r="43" spans="1:8" x14ac:dyDescent="0.25">
      <c r="A43" s="44">
        <v>45987</v>
      </c>
      <c r="B43" s="45" t="s">
        <v>129</v>
      </c>
      <c r="C43" s="45" t="s">
        <v>48</v>
      </c>
      <c r="D43" s="45" t="s">
        <v>56</v>
      </c>
      <c r="E43" s="41" t="s">
        <v>27</v>
      </c>
      <c r="F43" s="39"/>
      <c r="G43" s="40" t="s">
        <v>38</v>
      </c>
      <c r="H43" s="47">
        <v>15150</v>
      </c>
    </row>
    <row r="44" spans="1:8" x14ac:dyDescent="0.25">
      <c r="A44" s="44">
        <v>45987</v>
      </c>
      <c r="B44" s="43" t="s">
        <v>130</v>
      </c>
      <c r="C44" s="43" t="s">
        <v>22</v>
      </c>
      <c r="D44" s="43" t="s">
        <v>131</v>
      </c>
      <c r="E44" s="41" t="s">
        <v>27</v>
      </c>
      <c r="F44" s="39"/>
      <c r="G44" s="40" t="s">
        <v>38</v>
      </c>
      <c r="H44" s="47">
        <v>26260</v>
      </c>
    </row>
    <row r="45" spans="1:8" x14ac:dyDescent="0.25">
      <c r="A45" s="44">
        <v>45987</v>
      </c>
      <c r="B45" s="43" t="s">
        <v>134</v>
      </c>
      <c r="C45" s="43" t="s">
        <v>135</v>
      </c>
      <c r="D45" s="43" t="s">
        <v>136</v>
      </c>
      <c r="E45" s="41" t="s">
        <v>27</v>
      </c>
      <c r="F45" s="39"/>
      <c r="G45" s="40" t="s">
        <v>172</v>
      </c>
      <c r="H45" s="47">
        <v>24240</v>
      </c>
    </row>
    <row r="46" spans="1:8" x14ac:dyDescent="0.25">
      <c r="A46" s="44">
        <v>45987</v>
      </c>
      <c r="B46" s="45" t="s">
        <v>139</v>
      </c>
      <c r="C46" s="45" t="s">
        <v>140</v>
      </c>
      <c r="D46" s="45" t="s">
        <v>141</v>
      </c>
      <c r="E46" s="41" t="s">
        <v>27</v>
      </c>
      <c r="F46" s="39"/>
      <c r="G46" s="40" t="s">
        <v>38</v>
      </c>
      <c r="H46" s="47">
        <v>75753</v>
      </c>
    </row>
    <row r="47" spans="1:8" x14ac:dyDescent="0.25">
      <c r="A47" s="44">
        <v>45988</v>
      </c>
      <c r="B47" s="43" t="s">
        <v>142</v>
      </c>
      <c r="C47" s="43" t="s">
        <v>143</v>
      </c>
      <c r="D47" s="43" t="s">
        <v>67</v>
      </c>
      <c r="E47" s="41" t="s">
        <v>27</v>
      </c>
      <c r="F47" s="39"/>
      <c r="G47" s="40" t="s">
        <v>38</v>
      </c>
      <c r="H47" s="47">
        <v>26260</v>
      </c>
    </row>
    <row r="48" spans="1:8" ht="16.5" customHeight="1" x14ac:dyDescent="0.25">
      <c r="A48" s="44">
        <v>45988</v>
      </c>
      <c r="B48" s="48" t="s">
        <v>145</v>
      </c>
      <c r="C48" s="45" t="s">
        <v>143</v>
      </c>
      <c r="D48" s="45" t="s">
        <v>144</v>
      </c>
      <c r="E48" s="41" t="s">
        <v>27</v>
      </c>
      <c r="F48" s="39"/>
      <c r="G48" s="40" t="s">
        <v>38</v>
      </c>
      <c r="H48" s="47">
        <v>40398</v>
      </c>
    </row>
    <row r="49" spans="1:8" x14ac:dyDescent="0.25">
      <c r="A49" s="44">
        <v>45989</v>
      </c>
      <c r="B49" s="43" t="s">
        <v>148</v>
      </c>
      <c r="C49" s="43" t="s">
        <v>147</v>
      </c>
      <c r="D49" s="43" t="s">
        <v>146</v>
      </c>
      <c r="E49" s="41" t="s">
        <v>27</v>
      </c>
      <c r="F49" s="39"/>
      <c r="G49" s="40" t="s">
        <v>38</v>
      </c>
      <c r="H49" s="47">
        <v>368448</v>
      </c>
    </row>
    <row r="50" spans="1:8" x14ac:dyDescent="0.25">
      <c r="A50" s="44">
        <v>45989</v>
      </c>
      <c r="B50" s="45" t="s">
        <v>149</v>
      </c>
      <c r="C50" s="45" t="s">
        <v>147</v>
      </c>
      <c r="D50" s="45" t="s">
        <v>93</v>
      </c>
      <c r="E50" s="41" t="s">
        <v>27</v>
      </c>
      <c r="F50" s="39"/>
      <c r="G50" s="40" t="s">
        <v>38</v>
      </c>
      <c r="H50" s="47">
        <v>16160</v>
      </c>
    </row>
    <row r="51" spans="1:8" ht="17.25" customHeight="1" x14ac:dyDescent="0.25">
      <c r="A51" s="44">
        <v>45989</v>
      </c>
      <c r="B51" s="43" t="s">
        <v>151</v>
      </c>
      <c r="C51" s="43" t="s">
        <v>152</v>
      </c>
      <c r="D51" s="42" t="s">
        <v>150</v>
      </c>
      <c r="E51" s="41" t="s">
        <v>27</v>
      </c>
      <c r="F51" s="39"/>
      <c r="G51" s="40" t="s">
        <v>38</v>
      </c>
      <c r="H51" s="47">
        <v>36360</v>
      </c>
    </row>
    <row r="52" spans="1:8" ht="15.75" customHeight="1" x14ac:dyDescent="0.25">
      <c r="A52" s="44">
        <v>45989</v>
      </c>
      <c r="B52" s="43" t="s">
        <v>153</v>
      </c>
      <c r="C52" s="43" t="s">
        <v>46</v>
      </c>
      <c r="D52" s="42" t="s">
        <v>154</v>
      </c>
      <c r="E52" s="41" t="s">
        <v>27</v>
      </c>
      <c r="F52" s="39"/>
      <c r="G52" s="40" t="s">
        <v>38</v>
      </c>
      <c r="H52" s="47">
        <v>52524</v>
      </c>
    </row>
    <row r="53" spans="1:8" ht="20.25" customHeight="1" thickBot="1" x14ac:dyDescent="0.3">
      <c r="A53" s="44">
        <v>45989</v>
      </c>
      <c r="B53" s="45" t="s">
        <v>156</v>
      </c>
      <c r="C53" s="48" t="s">
        <v>147</v>
      </c>
      <c r="D53" s="45" t="s">
        <v>155</v>
      </c>
      <c r="E53" s="41" t="s">
        <v>27</v>
      </c>
      <c r="F53" s="39"/>
      <c r="G53" s="40" t="s">
        <v>38</v>
      </c>
      <c r="H53" s="47">
        <v>68680</v>
      </c>
    </row>
    <row r="54" spans="1:8" ht="15.75" thickBot="1" x14ac:dyDescent="0.3">
      <c r="A54" s="44">
        <v>45989</v>
      </c>
      <c r="B54" s="45" t="s">
        <v>158</v>
      </c>
      <c r="C54" s="45" t="s">
        <v>46</v>
      </c>
      <c r="D54" s="45" t="s">
        <v>157</v>
      </c>
      <c r="E54" s="41" t="s">
        <v>27</v>
      </c>
      <c r="F54" s="39"/>
      <c r="G54" s="40" t="s">
        <v>38</v>
      </c>
      <c r="H54" s="49">
        <v>267650</v>
      </c>
    </row>
    <row r="55" spans="1:8" x14ac:dyDescent="0.25">
      <c r="A55" s="44">
        <v>45990</v>
      </c>
      <c r="B55" s="43" t="s">
        <v>161</v>
      </c>
      <c r="C55" s="43" t="s">
        <v>160</v>
      </c>
      <c r="D55" s="43" t="s">
        <v>159</v>
      </c>
      <c r="E55" s="41" t="s">
        <v>27</v>
      </c>
      <c r="F55" s="39"/>
      <c r="G55" s="40" t="s">
        <v>38</v>
      </c>
      <c r="H55" s="47">
        <v>18180</v>
      </c>
    </row>
    <row r="56" spans="1:8" x14ac:dyDescent="0.25">
      <c r="A56" s="44">
        <v>45990</v>
      </c>
      <c r="B56" s="43" t="s">
        <v>166</v>
      </c>
      <c r="C56" s="43" t="s">
        <v>167</v>
      </c>
      <c r="D56" s="43" t="s">
        <v>165</v>
      </c>
      <c r="E56" s="41" t="s">
        <v>27</v>
      </c>
      <c r="F56" s="39"/>
      <c r="G56" s="40" t="s">
        <v>38</v>
      </c>
      <c r="H56" s="47">
        <v>177760</v>
      </c>
    </row>
    <row r="57" spans="1:8" x14ac:dyDescent="0.25">
      <c r="A57" s="44">
        <v>45990</v>
      </c>
      <c r="B57" s="45" t="s">
        <v>168</v>
      </c>
      <c r="C57" s="45" t="s">
        <v>169</v>
      </c>
      <c r="D57" s="45" t="s">
        <v>170</v>
      </c>
      <c r="E57" s="41" t="s">
        <v>27</v>
      </c>
      <c r="F57" s="39"/>
      <c r="G57" s="40" t="s">
        <v>38</v>
      </c>
      <c r="H57" s="47">
        <v>141400</v>
      </c>
    </row>
    <row r="58" spans="1:8" x14ac:dyDescent="0.25">
      <c r="A58" s="44">
        <v>45992</v>
      </c>
      <c r="B58" s="43" t="s">
        <v>173</v>
      </c>
      <c r="C58" s="43" t="s">
        <v>22</v>
      </c>
      <c r="D58" s="43" t="s">
        <v>131</v>
      </c>
      <c r="E58" s="41" t="s">
        <v>27</v>
      </c>
      <c r="F58" s="39"/>
      <c r="G58" s="40" t="s">
        <v>38</v>
      </c>
      <c r="H58" s="18">
        <v>26260</v>
      </c>
    </row>
    <row r="59" spans="1:8" x14ac:dyDescent="0.25">
      <c r="A59" s="44">
        <v>45992</v>
      </c>
      <c r="B59" s="45" t="s">
        <v>174</v>
      </c>
      <c r="C59" s="45" t="s">
        <v>83</v>
      </c>
      <c r="D59" s="48" t="s">
        <v>175</v>
      </c>
      <c r="E59" s="41" t="s">
        <v>27</v>
      </c>
      <c r="F59" s="39"/>
      <c r="G59" s="40"/>
      <c r="H59" s="47">
        <v>82012</v>
      </c>
    </row>
    <row r="60" spans="1:8" x14ac:dyDescent="0.25">
      <c r="A60" s="44">
        <v>45992</v>
      </c>
      <c r="B60" s="45" t="s">
        <v>176</v>
      </c>
      <c r="C60" s="45" t="s">
        <v>167</v>
      </c>
      <c r="D60" s="45" t="s">
        <v>66</v>
      </c>
      <c r="E60" s="41" t="s">
        <v>27</v>
      </c>
      <c r="F60" s="39"/>
      <c r="G60" s="40" t="s">
        <v>38</v>
      </c>
      <c r="H60" s="47">
        <v>80800</v>
      </c>
    </row>
    <row r="61" spans="1:8" x14ac:dyDescent="0.25">
      <c r="A61" s="44">
        <v>45992</v>
      </c>
      <c r="B61" s="45" t="s">
        <v>177</v>
      </c>
      <c r="C61" s="41" t="s">
        <v>178</v>
      </c>
      <c r="D61" s="41" t="s">
        <v>179</v>
      </c>
      <c r="E61" s="41" t="s">
        <v>27</v>
      </c>
      <c r="F61" s="39"/>
      <c r="G61" s="40" t="s">
        <v>38</v>
      </c>
      <c r="H61" s="47">
        <v>52524</v>
      </c>
    </row>
    <row r="62" spans="1:8" x14ac:dyDescent="0.25">
      <c r="A62" s="44">
        <v>45992</v>
      </c>
      <c r="B62" s="42" t="s">
        <v>180</v>
      </c>
      <c r="C62" s="43" t="s">
        <v>181</v>
      </c>
      <c r="D62" s="41" t="s">
        <v>182</v>
      </c>
      <c r="E62" s="41" t="s">
        <v>27</v>
      </c>
      <c r="F62" s="39"/>
      <c r="G62" s="40" t="s">
        <v>38</v>
      </c>
      <c r="H62" s="47">
        <v>48480</v>
      </c>
    </row>
    <row r="63" spans="1:8" x14ac:dyDescent="0.25">
      <c r="A63" s="44">
        <v>45993</v>
      </c>
      <c r="B63" s="45" t="s">
        <v>186</v>
      </c>
      <c r="C63" s="45" t="s">
        <v>83</v>
      </c>
      <c r="D63" s="45" t="s">
        <v>187</v>
      </c>
      <c r="E63" s="41" t="s">
        <v>27</v>
      </c>
      <c r="F63" s="39"/>
      <c r="G63" s="40" t="s">
        <v>38</v>
      </c>
      <c r="H63" s="47">
        <v>476720</v>
      </c>
    </row>
    <row r="64" spans="1:8" x14ac:dyDescent="0.25">
      <c r="A64" s="44">
        <v>45993</v>
      </c>
      <c r="B64" s="42" t="s">
        <v>188</v>
      </c>
      <c r="C64" s="43" t="s">
        <v>99</v>
      </c>
      <c r="D64" s="43" t="s">
        <v>98</v>
      </c>
      <c r="E64" s="41" t="s">
        <v>27</v>
      </c>
      <c r="F64" s="39"/>
      <c r="G64" s="40" t="s">
        <v>38</v>
      </c>
      <c r="H64" s="18">
        <v>14140</v>
      </c>
    </row>
    <row r="65" spans="1:8" x14ac:dyDescent="0.25">
      <c r="A65" s="44">
        <v>45994</v>
      </c>
      <c r="B65" s="48" t="s">
        <v>195</v>
      </c>
      <c r="C65" s="45" t="s">
        <v>63</v>
      </c>
      <c r="D65" s="45" t="s">
        <v>98</v>
      </c>
      <c r="E65" s="41" t="s">
        <v>27</v>
      </c>
      <c r="F65" s="39"/>
      <c r="G65" s="40" t="s">
        <v>38</v>
      </c>
      <c r="H65" s="47">
        <v>14140</v>
      </c>
    </row>
    <row r="66" spans="1:8" x14ac:dyDescent="0.25">
      <c r="A66" s="44">
        <v>45994</v>
      </c>
      <c r="B66" s="42" t="s">
        <v>201</v>
      </c>
      <c r="C66" s="43" t="s">
        <v>46</v>
      </c>
      <c r="D66" s="43" t="s">
        <v>67</v>
      </c>
      <c r="E66" s="41" t="s">
        <v>27</v>
      </c>
      <c r="F66" s="39"/>
      <c r="G66" s="40" t="s">
        <v>38</v>
      </c>
      <c r="H66" s="47">
        <v>52520</v>
      </c>
    </row>
    <row r="67" spans="1:8" x14ac:dyDescent="0.25">
      <c r="A67" s="44">
        <v>45995</v>
      </c>
      <c r="B67" s="45" t="s">
        <v>211</v>
      </c>
      <c r="C67" s="48" t="s">
        <v>147</v>
      </c>
      <c r="D67" s="45" t="s">
        <v>93</v>
      </c>
      <c r="E67" s="41" t="s">
        <v>27</v>
      </c>
      <c r="F67" s="39"/>
      <c r="G67" s="40" t="s">
        <v>38</v>
      </c>
      <c r="H67" s="47">
        <v>16160</v>
      </c>
    </row>
    <row r="68" spans="1:8" x14ac:dyDescent="0.25">
      <c r="A68" s="60">
        <v>45994</v>
      </c>
      <c r="B68" s="67" t="s">
        <v>192</v>
      </c>
      <c r="C68" s="64" t="s">
        <v>193</v>
      </c>
      <c r="D68" s="64" t="s">
        <v>194</v>
      </c>
      <c r="E68" s="9" t="s">
        <v>27</v>
      </c>
      <c r="F68" s="61"/>
      <c r="G68" s="62" t="s">
        <v>38</v>
      </c>
      <c r="H68" s="18">
        <v>787350</v>
      </c>
    </row>
    <row r="69" spans="1:8" x14ac:dyDescent="0.25">
      <c r="A69" s="60">
        <v>45994</v>
      </c>
      <c r="B69" s="67" t="s">
        <v>198</v>
      </c>
      <c r="C69" s="64" t="s">
        <v>199</v>
      </c>
      <c r="D69" s="64" t="s">
        <v>200</v>
      </c>
      <c r="E69" s="9" t="s">
        <v>27</v>
      </c>
      <c r="F69" s="61"/>
      <c r="G69" s="62" t="s">
        <v>38</v>
      </c>
      <c r="H69" s="18">
        <v>1020312</v>
      </c>
    </row>
    <row r="70" spans="1:8" x14ac:dyDescent="0.25">
      <c r="A70" s="60">
        <v>45994</v>
      </c>
      <c r="B70" s="11" t="s">
        <v>204</v>
      </c>
      <c r="C70" s="11" t="s">
        <v>205</v>
      </c>
      <c r="D70" s="11" t="s">
        <v>206</v>
      </c>
      <c r="E70" s="9" t="s">
        <v>27</v>
      </c>
      <c r="F70" s="61"/>
      <c r="G70" s="62" t="s">
        <v>38</v>
      </c>
      <c r="H70" s="18">
        <v>60600</v>
      </c>
    </row>
    <row r="71" spans="1:8" x14ac:dyDescent="0.25">
      <c r="A71" s="60">
        <v>45995</v>
      </c>
      <c r="B71" s="11" t="s">
        <v>208</v>
      </c>
      <c r="C71" s="65" t="s">
        <v>209</v>
      </c>
      <c r="D71" s="11" t="s">
        <v>210</v>
      </c>
      <c r="E71" s="9" t="s">
        <v>27</v>
      </c>
      <c r="F71" s="61"/>
      <c r="G71" s="61" t="s">
        <v>38</v>
      </c>
      <c r="H71" s="66">
        <v>87870</v>
      </c>
    </row>
    <row r="72" spans="1:8" x14ac:dyDescent="0.25">
      <c r="A72" s="60">
        <v>45995</v>
      </c>
      <c r="B72" s="65" t="s">
        <v>213</v>
      </c>
      <c r="C72" s="11" t="s">
        <v>214</v>
      </c>
      <c r="D72" s="65" t="s">
        <v>210</v>
      </c>
      <c r="E72" s="9" t="s">
        <v>27</v>
      </c>
      <c r="F72" s="61"/>
      <c r="G72" s="61" t="s">
        <v>38</v>
      </c>
      <c r="H72" s="18">
        <v>15152</v>
      </c>
    </row>
    <row r="73" spans="1:8" x14ac:dyDescent="0.25">
      <c r="A73" s="60">
        <v>45995</v>
      </c>
      <c r="B73" s="67" t="s">
        <v>215</v>
      </c>
      <c r="C73" s="64" t="s">
        <v>46</v>
      </c>
      <c r="D73" s="64" t="s">
        <v>216</v>
      </c>
      <c r="E73" s="9" t="s">
        <v>27</v>
      </c>
      <c r="F73" s="61"/>
      <c r="G73" s="61" t="s">
        <v>38</v>
      </c>
      <c r="H73" s="18">
        <v>52520</v>
      </c>
    </row>
    <row r="74" spans="1:8" x14ac:dyDescent="0.25">
      <c r="A74" s="60">
        <v>45995</v>
      </c>
      <c r="B74" s="11" t="s">
        <v>217</v>
      </c>
      <c r="C74" s="11" t="s">
        <v>218</v>
      </c>
      <c r="D74" s="11" t="s">
        <v>219</v>
      </c>
      <c r="E74" s="9" t="s">
        <v>27</v>
      </c>
      <c r="F74" s="61"/>
      <c r="G74" s="61" t="s">
        <v>38</v>
      </c>
      <c r="H74" s="18">
        <v>32319</v>
      </c>
    </row>
    <row r="75" spans="1:8" x14ac:dyDescent="0.25">
      <c r="A75" s="63">
        <v>45996</v>
      </c>
      <c r="B75" s="64" t="s">
        <v>220</v>
      </c>
      <c r="C75" s="64" t="s">
        <v>209</v>
      </c>
      <c r="D75" s="64" t="s">
        <v>210</v>
      </c>
      <c r="E75" s="9" t="s">
        <v>27</v>
      </c>
      <c r="F75" s="61"/>
      <c r="G75" s="61" t="s">
        <v>267</v>
      </c>
      <c r="H75" s="18">
        <v>48480</v>
      </c>
    </row>
    <row r="76" spans="1:8" x14ac:dyDescent="0.25">
      <c r="A76" s="63">
        <v>45996</v>
      </c>
      <c r="B76" s="64" t="s">
        <v>221</v>
      </c>
      <c r="C76" s="64" t="s">
        <v>46</v>
      </c>
      <c r="D76" s="64" t="s">
        <v>61</v>
      </c>
      <c r="E76" s="9" t="s">
        <v>27</v>
      </c>
      <c r="F76" s="61"/>
      <c r="G76" s="61" t="s">
        <v>38</v>
      </c>
      <c r="H76" s="18">
        <v>42420</v>
      </c>
    </row>
    <row r="77" spans="1:8" x14ac:dyDescent="0.25">
      <c r="A77" s="63">
        <v>45996</v>
      </c>
      <c r="B77" s="64" t="s">
        <v>222</v>
      </c>
      <c r="C77" s="64" t="s">
        <v>223</v>
      </c>
      <c r="D77" s="64" t="s">
        <v>224</v>
      </c>
      <c r="E77" s="9" t="s">
        <v>27</v>
      </c>
      <c r="F77" s="61"/>
      <c r="G77" s="61" t="s">
        <v>38</v>
      </c>
      <c r="H77" s="18">
        <v>40401</v>
      </c>
    </row>
    <row r="78" spans="1:8" x14ac:dyDescent="0.25">
      <c r="A78" s="68">
        <v>45994</v>
      </c>
      <c r="B78" s="82" t="s">
        <v>189</v>
      </c>
      <c r="C78" s="82" t="s">
        <v>190</v>
      </c>
      <c r="D78" s="81" t="s">
        <v>191</v>
      </c>
      <c r="E78" s="70" t="s">
        <v>27</v>
      </c>
      <c r="F78" s="71"/>
      <c r="G78" s="72"/>
      <c r="H78" s="18">
        <v>1139280</v>
      </c>
    </row>
    <row r="79" spans="1:8" x14ac:dyDescent="0.25">
      <c r="A79" s="68">
        <v>45994</v>
      </c>
      <c r="B79" s="69" t="s">
        <v>202</v>
      </c>
      <c r="C79" s="69" t="s">
        <v>199</v>
      </c>
      <c r="D79" s="69" t="s">
        <v>203</v>
      </c>
      <c r="E79" s="70" t="s">
        <v>27</v>
      </c>
      <c r="F79" s="71"/>
      <c r="G79" s="72" t="s">
        <v>38</v>
      </c>
      <c r="H79" s="18">
        <v>68680</v>
      </c>
    </row>
    <row r="80" spans="1:8" x14ac:dyDescent="0.25">
      <c r="A80" s="68">
        <v>45995</v>
      </c>
      <c r="B80" s="81" t="s">
        <v>207</v>
      </c>
      <c r="C80" s="81" t="s">
        <v>22</v>
      </c>
      <c r="D80" s="82" t="s">
        <v>54</v>
      </c>
      <c r="E80" s="70" t="s">
        <v>27</v>
      </c>
      <c r="F80" s="71"/>
      <c r="G80" s="71" t="s">
        <v>38</v>
      </c>
      <c r="H80" s="18">
        <v>48076</v>
      </c>
    </row>
    <row r="81" spans="1:8" x14ac:dyDescent="0.25">
      <c r="A81" s="68">
        <v>45995</v>
      </c>
      <c r="B81" s="82" t="s">
        <v>212</v>
      </c>
      <c r="C81" s="82" t="s">
        <v>22</v>
      </c>
      <c r="D81" s="82" t="s">
        <v>131</v>
      </c>
      <c r="E81" s="70" t="s">
        <v>27</v>
      </c>
      <c r="F81" s="71"/>
      <c r="G81" s="71" t="s">
        <v>38</v>
      </c>
      <c r="H81" s="18">
        <v>26260</v>
      </c>
    </row>
    <row r="82" spans="1:8" x14ac:dyDescent="0.25">
      <c r="A82" s="80">
        <v>45996</v>
      </c>
      <c r="B82" s="69" t="s">
        <v>225</v>
      </c>
      <c r="C82" s="69" t="s">
        <v>223</v>
      </c>
      <c r="D82" s="69" t="s">
        <v>84</v>
      </c>
      <c r="E82" s="70" t="s">
        <v>27</v>
      </c>
      <c r="F82" s="71"/>
      <c r="G82" s="71"/>
      <c r="H82" s="18">
        <v>42016</v>
      </c>
    </row>
    <row r="83" spans="1:8" x14ac:dyDescent="0.25">
      <c r="A83" s="77">
        <v>45997</v>
      </c>
      <c r="B83" s="74" t="s">
        <v>230</v>
      </c>
      <c r="C83" s="74" t="s">
        <v>231</v>
      </c>
      <c r="D83" s="74" t="s">
        <v>232</v>
      </c>
      <c r="E83" s="73"/>
      <c r="F83" s="73"/>
      <c r="G83" s="73" t="s">
        <v>38</v>
      </c>
      <c r="H83" s="18">
        <v>29088</v>
      </c>
    </row>
    <row r="84" spans="1:8" x14ac:dyDescent="0.25">
      <c r="A84" s="77">
        <v>45997</v>
      </c>
      <c r="B84" s="78" t="s">
        <v>233</v>
      </c>
      <c r="C84" s="78" t="s">
        <v>94</v>
      </c>
      <c r="D84" s="75" t="s">
        <v>93</v>
      </c>
      <c r="E84" s="73"/>
      <c r="F84" s="73"/>
      <c r="G84" s="73"/>
      <c r="H84" s="18">
        <v>197812</v>
      </c>
    </row>
    <row r="85" spans="1:8" x14ac:dyDescent="0.25">
      <c r="A85" s="77">
        <v>45999</v>
      </c>
      <c r="B85" s="74" t="s">
        <v>234</v>
      </c>
      <c r="C85" s="74" t="s">
        <v>22</v>
      </c>
      <c r="D85" s="74" t="s">
        <v>235</v>
      </c>
      <c r="E85" s="73"/>
      <c r="F85" s="73"/>
      <c r="G85" s="73" t="s">
        <v>38</v>
      </c>
      <c r="H85" s="18">
        <v>18180</v>
      </c>
    </row>
    <row r="86" spans="1:8" x14ac:dyDescent="0.25">
      <c r="A86" s="73"/>
      <c r="B86" s="78" t="s">
        <v>236</v>
      </c>
      <c r="C86" s="73" t="s">
        <v>237</v>
      </c>
      <c r="D86" s="78" t="s">
        <v>98</v>
      </c>
      <c r="E86" s="73"/>
      <c r="F86" s="73"/>
      <c r="G86" s="73" t="s">
        <v>38</v>
      </c>
      <c r="H86" s="18">
        <v>14140</v>
      </c>
    </row>
    <row r="87" spans="1:8" x14ac:dyDescent="0.25">
      <c r="A87" s="73"/>
      <c r="B87" s="75" t="s">
        <v>246</v>
      </c>
      <c r="C87" s="78" t="s">
        <v>181</v>
      </c>
      <c r="D87" s="78" t="s">
        <v>247</v>
      </c>
      <c r="E87" s="73"/>
      <c r="F87" s="71"/>
      <c r="G87" s="71"/>
      <c r="H87" s="18">
        <v>26664</v>
      </c>
    </row>
    <row r="88" spans="1:8" x14ac:dyDescent="0.25">
      <c r="A88" s="73"/>
      <c r="B88" s="74" t="s">
        <v>248</v>
      </c>
      <c r="C88" s="73" t="s">
        <v>249</v>
      </c>
      <c r="D88" s="74" t="s">
        <v>250</v>
      </c>
      <c r="E88" s="73"/>
      <c r="F88" s="71"/>
      <c r="G88" s="71" t="s">
        <v>38</v>
      </c>
      <c r="H88" s="18">
        <v>10000</v>
      </c>
    </row>
    <row r="89" spans="1:8" x14ac:dyDescent="0.25">
      <c r="A89" s="73"/>
      <c r="B89" s="75" t="s">
        <v>253</v>
      </c>
      <c r="C89" s="73" t="s">
        <v>60</v>
      </c>
      <c r="D89" s="73" t="s">
        <v>254</v>
      </c>
      <c r="E89" s="73"/>
      <c r="F89" s="71"/>
      <c r="G89" s="71"/>
      <c r="H89" s="18">
        <v>93324</v>
      </c>
    </row>
    <row r="90" spans="1:8" x14ac:dyDescent="0.25">
      <c r="A90" s="116">
        <v>45994</v>
      </c>
      <c r="B90" s="117" t="s">
        <v>196</v>
      </c>
      <c r="C90" s="117" t="s">
        <v>46</v>
      </c>
      <c r="D90" s="117" t="s">
        <v>197</v>
      </c>
      <c r="E90" s="118" t="s">
        <v>27</v>
      </c>
      <c r="F90" s="119"/>
      <c r="G90" s="120"/>
      <c r="H90" s="18">
        <v>34340</v>
      </c>
    </row>
    <row r="91" spans="1:8" x14ac:dyDescent="0.25">
      <c r="A91" s="123"/>
      <c r="B91" s="117" t="s">
        <v>238</v>
      </c>
      <c r="C91" s="124" t="s">
        <v>46</v>
      </c>
      <c r="D91" s="117" t="s">
        <v>154</v>
      </c>
      <c r="E91" s="123"/>
      <c r="F91" s="123"/>
      <c r="G91" s="123"/>
      <c r="H91" s="18">
        <v>52518</v>
      </c>
    </row>
    <row r="92" spans="1:8" x14ac:dyDescent="0.25">
      <c r="A92" s="123"/>
      <c r="B92" s="122" t="s">
        <v>239</v>
      </c>
      <c r="C92" s="124" t="s">
        <v>46</v>
      </c>
      <c r="D92" s="122" t="s">
        <v>165</v>
      </c>
      <c r="E92" s="123"/>
      <c r="F92" s="123"/>
      <c r="G92" s="123"/>
      <c r="H92" s="18">
        <v>92920</v>
      </c>
    </row>
    <row r="93" spans="1:8" x14ac:dyDescent="0.25">
      <c r="A93" s="123"/>
      <c r="B93" s="122" t="s">
        <v>240</v>
      </c>
      <c r="C93" s="117" t="s">
        <v>46</v>
      </c>
      <c r="D93" s="117" t="s">
        <v>81</v>
      </c>
      <c r="E93" s="123"/>
      <c r="F93" s="123"/>
      <c r="G93" s="123"/>
      <c r="H93" s="18">
        <v>68276</v>
      </c>
    </row>
    <row r="94" spans="1:8" x14ac:dyDescent="0.25">
      <c r="A94" s="121">
        <v>46000</v>
      </c>
      <c r="B94" s="122" t="s">
        <v>241</v>
      </c>
      <c r="C94" s="118" t="s">
        <v>242</v>
      </c>
      <c r="D94" s="117" t="s">
        <v>243</v>
      </c>
      <c r="E94" s="123"/>
      <c r="F94" s="123"/>
      <c r="G94" s="123"/>
      <c r="H94" s="18">
        <v>20200</v>
      </c>
    </row>
    <row r="95" spans="1:8" x14ac:dyDescent="0.25">
      <c r="A95" s="123"/>
      <c r="B95" s="125" t="s">
        <v>244</v>
      </c>
      <c r="C95" s="118" t="s">
        <v>242</v>
      </c>
      <c r="D95" s="118" t="s">
        <v>245</v>
      </c>
      <c r="E95" s="123"/>
      <c r="F95" s="119"/>
      <c r="G95" s="119"/>
      <c r="H95" s="18">
        <v>26260</v>
      </c>
    </row>
    <row r="96" spans="1:8" x14ac:dyDescent="0.25">
      <c r="A96" s="123"/>
      <c r="B96" s="117" t="s">
        <v>251</v>
      </c>
      <c r="C96" s="122" t="s">
        <v>252</v>
      </c>
      <c r="D96" s="117" t="s">
        <v>93</v>
      </c>
      <c r="E96" s="123"/>
      <c r="F96" s="119"/>
      <c r="G96" s="119"/>
      <c r="H96" s="18">
        <v>16160</v>
      </c>
    </row>
    <row r="97" spans="1:8" x14ac:dyDescent="0.25">
      <c r="A97" s="121">
        <v>46001</v>
      </c>
      <c r="B97" s="122" t="s">
        <v>255</v>
      </c>
      <c r="C97" s="118" t="s">
        <v>242</v>
      </c>
      <c r="D97" s="117" t="s">
        <v>256</v>
      </c>
      <c r="E97" s="123"/>
      <c r="F97" s="119"/>
      <c r="G97" s="119"/>
      <c r="H97" s="18">
        <v>20200</v>
      </c>
    </row>
    <row r="98" spans="1:8" x14ac:dyDescent="0.25">
      <c r="A98" s="121"/>
      <c r="B98" s="124" t="s">
        <v>257</v>
      </c>
      <c r="C98" s="118" t="s">
        <v>242</v>
      </c>
      <c r="D98" s="125" t="s">
        <v>258</v>
      </c>
      <c r="E98" s="123"/>
      <c r="F98" s="119"/>
      <c r="G98" s="119"/>
      <c r="H98" s="18">
        <v>14140</v>
      </c>
    </row>
    <row r="99" spans="1:8" x14ac:dyDescent="0.25">
      <c r="A99" s="121"/>
      <c r="B99" s="117" t="s">
        <v>259</v>
      </c>
      <c r="C99" s="117" t="s">
        <v>260</v>
      </c>
      <c r="D99" s="117" t="s">
        <v>261</v>
      </c>
      <c r="E99" s="123"/>
      <c r="F99" s="119"/>
      <c r="G99" s="119"/>
      <c r="H99" s="18">
        <v>73528</v>
      </c>
    </row>
    <row r="100" spans="1:8" x14ac:dyDescent="0.25">
      <c r="A100" s="121"/>
      <c r="B100" s="124" t="s">
        <v>262</v>
      </c>
      <c r="C100" s="124" t="s">
        <v>70</v>
      </c>
      <c r="D100" s="125" t="s">
        <v>263</v>
      </c>
      <c r="E100" s="123"/>
      <c r="F100" s="119"/>
      <c r="G100" s="126">
        <v>0</v>
      </c>
      <c r="H100" s="18">
        <v>20200</v>
      </c>
    </row>
    <row r="101" spans="1:8" x14ac:dyDescent="0.25">
      <c r="A101" s="121"/>
      <c r="B101" s="117" t="s">
        <v>264</v>
      </c>
      <c r="C101" s="117" t="s">
        <v>70</v>
      </c>
      <c r="D101" s="117" t="s">
        <v>175</v>
      </c>
      <c r="E101" s="123"/>
      <c r="F101" s="119"/>
      <c r="G101" s="119"/>
      <c r="H101" s="18">
        <v>28278</v>
      </c>
    </row>
    <row r="102" spans="1:8" x14ac:dyDescent="0.25">
      <c r="A102" s="121"/>
      <c r="B102" s="124" t="s">
        <v>265</v>
      </c>
      <c r="C102" s="124" t="s">
        <v>70</v>
      </c>
      <c r="D102" s="124" t="s">
        <v>261</v>
      </c>
      <c r="E102" s="123"/>
      <c r="F102" s="119"/>
      <c r="G102" s="119"/>
      <c r="H102" s="18">
        <v>73528</v>
      </c>
    </row>
    <row r="103" spans="1:8" x14ac:dyDescent="0.25">
      <c r="A103" s="121">
        <v>46002</v>
      </c>
      <c r="B103" s="124" t="s">
        <v>268</v>
      </c>
      <c r="C103" s="124" t="s">
        <v>269</v>
      </c>
      <c r="D103" s="124" t="s">
        <v>270</v>
      </c>
      <c r="E103" s="123"/>
      <c r="F103" s="119"/>
      <c r="G103" s="119"/>
      <c r="H103" s="18">
        <v>10000</v>
      </c>
    </row>
    <row r="104" spans="1:8" x14ac:dyDescent="0.25">
      <c r="A104" s="123"/>
      <c r="B104" s="117" t="s">
        <v>297</v>
      </c>
      <c r="C104" s="124" t="s">
        <v>22</v>
      </c>
      <c r="D104" s="124"/>
      <c r="E104" s="119"/>
      <c r="F104" s="119"/>
      <c r="G104" s="119"/>
      <c r="H104" s="18">
        <v>20200</v>
      </c>
    </row>
    <row r="105" spans="1:8" x14ac:dyDescent="0.25">
      <c r="A105" s="123"/>
      <c r="B105" s="117" t="s">
        <v>277</v>
      </c>
      <c r="C105" s="117" t="s">
        <v>278</v>
      </c>
      <c r="D105" s="117" t="s">
        <v>219</v>
      </c>
      <c r="E105" s="119"/>
      <c r="F105" s="119"/>
      <c r="G105" s="119"/>
      <c r="H105" s="18">
        <v>51712</v>
      </c>
    </row>
    <row r="106" spans="1:8" x14ac:dyDescent="0.25">
      <c r="A106" s="123"/>
      <c r="B106" s="124" t="s">
        <v>287</v>
      </c>
      <c r="C106" s="124" t="s">
        <v>86</v>
      </c>
      <c r="D106" s="124" t="s">
        <v>85</v>
      </c>
      <c r="E106" s="119"/>
      <c r="F106" s="119"/>
      <c r="G106" s="119"/>
      <c r="H106" s="18">
        <v>189375</v>
      </c>
    </row>
    <row r="107" spans="1:8" x14ac:dyDescent="0.25">
      <c r="A107" s="123"/>
      <c r="B107" s="117" t="s">
        <v>288</v>
      </c>
      <c r="C107" s="117" t="s">
        <v>22</v>
      </c>
      <c r="D107" s="117" t="s">
        <v>131</v>
      </c>
      <c r="E107" s="119"/>
      <c r="F107" s="119"/>
      <c r="G107" s="119"/>
      <c r="H107" s="18">
        <v>26260</v>
      </c>
    </row>
    <row r="108" spans="1:8" x14ac:dyDescent="0.25">
      <c r="A108" s="123"/>
      <c r="B108" s="124" t="s">
        <v>291</v>
      </c>
      <c r="C108" s="124" t="s">
        <v>46</v>
      </c>
      <c r="D108" s="124" t="s">
        <v>216</v>
      </c>
      <c r="E108" s="119"/>
      <c r="F108" s="119"/>
      <c r="G108" s="119"/>
      <c r="H108" s="18">
        <v>94536</v>
      </c>
    </row>
    <row r="109" spans="1:8" x14ac:dyDescent="0.25">
      <c r="A109" s="123"/>
      <c r="B109" s="122" t="s">
        <v>298</v>
      </c>
      <c r="C109" s="124" t="s">
        <v>46</v>
      </c>
      <c r="D109" s="118"/>
      <c r="E109" s="119"/>
      <c r="F109" s="119"/>
      <c r="G109" s="119"/>
      <c r="H109" s="18">
        <v>43632</v>
      </c>
    </row>
    <row r="110" spans="1:8" x14ac:dyDescent="0.25">
      <c r="A110" s="123"/>
      <c r="B110" s="125" t="s">
        <v>306</v>
      </c>
      <c r="C110" s="125" t="s">
        <v>307</v>
      </c>
      <c r="D110" s="124" t="s">
        <v>316</v>
      </c>
      <c r="E110" s="119"/>
      <c r="F110" s="119"/>
      <c r="G110" s="126">
        <v>0</v>
      </c>
      <c r="H110" s="18">
        <v>26260</v>
      </c>
    </row>
    <row r="111" spans="1:8" x14ac:dyDescent="0.25">
      <c r="A111" s="123"/>
      <c r="B111" s="122" t="s">
        <v>309</v>
      </c>
      <c r="C111" s="122" t="s">
        <v>310</v>
      </c>
      <c r="D111" s="117" t="s">
        <v>318</v>
      </c>
      <c r="E111" s="119"/>
      <c r="F111" s="119"/>
      <c r="G111" s="119"/>
      <c r="H111" s="18">
        <v>14140</v>
      </c>
    </row>
    <row r="112" spans="1:8" x14ac:dyDescent="0.25">
      <c r="A112" s="44">
        <v>45987</v>
      </c>
      <c r="B112" s="45" t="s">
        <v>137</v>
      </c>
      <c r="C112" s="45" t="s">
        <v>138</v>
      </c>
      <c r="D112" s="45" t="s">
        <v>103</v>
      </c>
      <c r="E112" s="41" t="s">
        <v>104</v>
      </c>
      <c r="F112" s="39"/>
      <c r="G112" s="40"/>
      <c r="H112" s="113">
        <v>136552</v>
      </c>
    </row>
    <row r="113" spans="1:9" x14ac:dyDescent="0.25">
      <c r="A113" s="44">
        <v>45990</v>
      </c>
      <c r="B113" s="45" t="s">
        <v>162</v>
      </c>
      <c r="C113" s="45" t="s">
        <v>163</v>
      </c>
      <c r="D113" s="45" t="s">
        <v>164</v>
      </c>
      <c r="E113" s="41" t="s">
        <v>104</v>
      </c>
      <c r="F113" s="39"/>
      <c r="G113" s="40"/>
      <c r="H113" s="113">
        <v>101000</v>
      </c>
    </row>
    <row r="114" spans="1:9" x14ac:dyDescent="0.25">
      <c r="A114" s="44">
        <v>45990</v>
      </c>
      <c r="B114" s="43" t="s">
        <v>171</v>
      </c>
      <c r="C114" s="43" t="s">
        <v>102</v>
      </c>
      <c r="D114" s="43" t="s">
        <v>103</v>
      </c>
      <c r="E114" s="41" t="s">
        <v>104</v>
      </c>
      <c r="F114" s="39"/>
      <c r="G114" s="40"/>
      <c r="H114" s="18">
        <v>52520</v>
      </c>
    </row>
    <row r="115" spans="1:9" x14ac:dyDescent="0.25">
      <c r="A115" s="52"/>
      <c r="B115" s="45" t="s">
        <v>273</v>
      </c>
      <c r="C115" s="45" t="s">
        <v>272</v>
      </c>
      <c r="D115" s="45" t="s">
        <v>271</v>
      </c>
      <c r="E115" s="39"/>
      <c r="F115" s="39"/>
      <c r="G115" s="39"/>
      <c r="H115" s="18">
        <v>72720</v>
      </c>
    </row>
    <row r="116" spans="1:9" x14ac:dyDescent="0.25">
      <c r="A116" s="52"/>
      <c r="B116" s="45" t="s">
        <v>274</v>
      </c>
      <c r="C116" s="45" t="s">
        <v>22</v>
      </c>
      <c r="D116" s="45" t="s">
        <v>54</v>
      </c>
      <c r="E116" s="39"/>
      <c r="F116" s="39"/>
      <c r="G116" s="39"/>
      <c r="H116" s="18">
        <v>28280</v>
      </c>
    </row>
    <row r="117" spans="1:9" x14ac:dyDescent="0.25">
      <c r="A117" s="52"/>
      <c r="B117" s="45" t="s">
        <v>276</v>
      </c>
      <c r="C117" s="45" t="s">
        <v>22</v>
      </c>
      <c r="D117" s="45" t="s">
        <v>275</v>
      </c>
      <c r="E117" s="39"/>
      <c r="F117" s="39"/>
      <c r="G117" s="39"/>
      <c r="H117" s="18">
        <v>15150</v>
      </c>
    </row>
    <row r="118" spans="1:9" x14ac:dyDescent="0.25">
      <c r="A118" s="73"/>
      <c r="B118" s="69" t="s">
        <v>281</v>
      </c>
      <c r="C118" s="69" t="s">
        <v>280</v>
      </c>
      <c r="D118" s="69" t="s">
        <v>279</v>
      </c>
      <c r="E118" s="71"/>
      <c r="F118" s="71"/>
      <c r="G118" s="71"/>
      <c r="H118" s="18">
        <v>280881</v>
      </c>
    </row>
    <row r="119" spans="1:9" x14ac:dyDescent="0.25">
      <c r="A119" s="73"/>
      <c r="B119" s="69" t="s">
        <v>290</v>
      </c>
      <c r="C119" s="69" t="s">
        <v>48</v>
      </c>
      <c r="D119" s="69" t="s">
        <v>289</v>
      </c>
      <c r="E119" s="71"/>
      <c r="F119" s="71"/>
      <c r="G119" s="132"/>
      <c r="H119" s="18">
        <v>14140</v>
      </c>
    </row>
    <row r="120" spans="1:9" x14ac:dyDescent="0.25">
      <c r="A120" s="73"/>
      <c r="B120" s="69" t="s">
        <v>295</v>
      </c>
      <c r="C120" s="69" t="s">
        <v>46</v>
      </c>
      <c r="D120" s="69" t="s">
        <v>296</v>
      </c>
      <c r="E120" s="71"/>
      <c r="F120" s="71"/>
      <c r="G120" s="71"/>
      <c r="H120" s="18">
        <v>50499</v>
      </c>
    </row>
    <row r="121" spans="1:9" x14ac:dyDescent="0.25">
      <c r="A121" s="52"/>
      <c r="B121" s="48" t="s">
        <v>301</v>
      </c>
      <c r="C121" s="48" t="s">
        <v>302</v>
      </c>
      <c r="D121" s="45" t="s">
        <v>313</v>
      </c>
      <c r="E121" s="39"/>
      <c r="F121" s="39"/>
      <c r="G121" s="39"/>
      <c r="H121" s="18">
        <v>32322</v>
      </c>
    </row>
    <row r="122" spans="1:9" x14ac:dyDescent="0.25">
      <c r="A122" s="52"/>
      <c r="B122" s="42" t="s">
        <v>303</v>
      </c>
      <c r="C122" s="42" t="s">
        <v>302</v>
      </c>
      <c r="D122" s="43" t="s">
        <v>314</v>
      </c>
      <c r="E122" s="39"/>
      <c r="F122" s="39"/>
      <c r="G122" s="39"/>
      <c r="H122" s="18">
        <v>18180</v>
      </c>
    </row>
    <row r="123" spans="1:9" x14ac:dyDescent="0.25">
      <c r="A123" s="73"/>
      <c r="B123" s="75" t="s">
        <v>304</v>
      </c>
      <c r="C123" s="75" t="s">
        <v>302</v>
      </c>
      <c r="D123" s="69" t="s">
        <v>315</v>
      </c>
      <c r="E123" s="71"/>
      <c r="F123" s="71"/>
      <c r="G123" s="71"/>
      <c r="H123" s="18">
        <v>16160</v>
      </c>
    </row>
    <row r="124" spans="1:9" x14ac:dyDescent="0.25">
      <c r="A124" s="52"/>
      <c r="B124" s="42" t="s">
        <v>308</v>
      </c>
      <c r="C124" s="42" t="s">
        <v>307</v>
      </c>
      <c r="D124" s="43" t="s">
        <v>317</v>
      </c>
      <c r="E124" s="39"/>
      <c r="F124" s="39"/>
      <c r="G124" s="39"/>
      <c r="H124" s="18">
        <v>10000</v>
      </c>
    </row>
    <row r="125" spans="1:9" x14ac:dyDescent="0.25">
      <c r="A125" s="52"/>
      <c r="B125" s="42" t="s">
        <v>312</v>
      </c>
      <c r="C125" s="42" t="s">
        <v>102</v>
      </c>
      <c r="D125" s="43" t="s">
        <v>103</v>
      </c>
      <c r="E125" s="39"/>
      <c r="F125" s="39"/>
      <c r="G125" s="39"/>
      <c r="H125" s="18">
        <v>52520</v>
      </c>
    </row>
    <row r="126" spans="1:9" x14ac:dyDescent="0.25">
      <c r="A126" s="52"/>
      <c r="B126" s="42" t="s">
        <v>327</v>
      </c>
      <c r="C126" s="42" t="s">
        <v>147</v>
      </c>
      <c r="D126" s="43" t="s">
        <v>335</v>
      </c>
      <c r="E126" s="39"/>
      <c r="F126" s="39"/>
      <c r="G126" s="39"/>
      <c r="H126" s="18">
        <v>16161</v>
      </c>
    </row>
    <row r="127" spans="1:9" x14ac:dyDescent="0.25">
      <c r="A127" s="52"/>
      <c r="B127" s="48" t="s">
        <v>328</v>
      </c>
      <c r="C127" s="48" t="s">
        <v>147</v>
      </c>
      <c r="D127" s="45" t="s">
        <v>93</v>
      </c>
      <c r="E127" s="39"/>
      <c r="F127" s="39"/>
      <c r="G127" s="39"/>
      <c r="H127" s="18">
        <v>16161</v>
      </c>
    </row>
    <row r="128" spans="1:9" x14ac:dyDescent="0.25">
      <c r="A128" s="80">
        <v>45996</v>
      </c>
      <c r="B128" s="81" t="s">
        <v>227</v>
      </c>
      <c r="C128" s="82" t="s">
        <v>102</v>
      </c>
      <c r="D128" s="82" t="s">
        <v>103</v>
      </c>
      <c r="E128" s="70" t="s">
        <v>226</v>
      </c>
      <c r="F128" s="71"/>
      <c r="G128" s="71"/>
      <c r="H128" s="146">
        <v>0</v>
      </c>
      <c r="I128">
        <v>52521</v>
      </c>
    </row>
    <row r="129" spans="1:9" x14ac:dyDescent="0.25">
      <c r="A129" s="77"/>
      <c r="B129" s="75" t="s">
        <v>266</v>
      </c>
      <c r="C129" s="69" t="s">
        <v>46</v>
      </c>
      <c r="D129" s="69" t="s">
        <v>47</v>
      </c>
      <c r="E129" s="73"/>
      <c r="F129" s="71"/>
      <c r="G129" s="71"/>
      <c r="H129" s="138" t="s">
        <v>433</v>
      </c>
      <c r="I129">
        <v>130492</v>
      </c>
    </row>
    <row r="130" spans="1:9" x14ac:dyDescent="0.25">
      <c r="A130" s="73"/>
      <c r="B130" s="81" t="s">
        <v>305</v>
      </c>
      <c r="C130" s="81" t="s">
        <v>181</v>
      </c>
      <c r="D130" s="82" t="s">
        <v>247</v>
      </c>
      <c r="E130" s="71"/>
      <c r="F130" s="71"/>
      <c r="G130" s="71"/>
      <c r="H130" s="18"/>
      <c r="I130">
        <v>46056</v>
      </c>
    </row>
    <row r="131" spans="1:9" x14ac:dyDescent="0.25">
      <c r="A131" s="77">
        <v>46004</v>
      </c>
      <c r="B131" s="69" t="s">
        <v>319</v>
      </c>
      <c r="C131" s="69" t="s">
        <v>46</v>
      </c>
      <c r="D131" s="75" t="s">
        <v>330</v>
      </c>
      <c r="E131" s="71"/>
      <c r="F131" s="71"/>
      <c r="G131" s="71"/>
      <c r="H131" s="18"/>
      <c r="I131">
        <v>52520</v>
      </c>
    </row>
    <row r="132" spans="1:9" x14ac:dyDescent="0.25">
      <c r="A132" s="73"/>
      <c r="B132" s="81" t="s">
        <v>320</v>
      </c>
      <c r="C132" s="81" t="s">
        <v>321</v>
      </c>
      <c r="D132" s="82" t="s">
        <v>331</v>
      </c>
      <c r="E132" s="71"/>
      <c r="F132" s="71"/>
      <c r="G132" s="71"/>
      <c r="H132" s="18"/>
      <c r="I132">
        <v>402990</v>
      </c>
    </row>
    <row r="133" spans="1:9" x14ac:dyDescent="0.25">
      <c r="A133" s="73"/>
      <c r="B133" s="81" t="s">
        <v>322</v>
      </c>
      <c r="C133" s="81" t="s">
        <v>323</v>
      </c>
      <c r="D133" s="82" t="s">
        <v>332</v>
      </c>
      <c r="E133" s="71"/>
      <c r="F133" s="71"/>
      <c r="G133" s="71"/>
      <c r="H133" s="18"/>
      <c r="I133">
        <v>54540</v>
      </c>
    </row>
    <row r="134" spans="1:9" x14ac:dyDescent="0.25">
      <c r="A134" s="73"/>
      <c r="B134" s="81" t="s">
        <v>324</v>
      </c>
      <c r="C134" s="81" t="s">
        <v>325</v>
      </c>
      <c r="D134" s="82" t="s">
        <v>333</v>
      </c>
      <c r="E134" s="71"/>
      <c r="F134" s="71"/>
      <c r="G134" s="71"/>
      <c r="H134" s="18"/>
      <c r="I134">
        <v>642633</v>
      </c>
    </row>
    <row r="135" spans="1:9" x14ac:dyDescent="0.25">
      <c r="A135" s="80"/>
      <c r="B135" s="75" t="s">
        <v>366</v>
      </c>
      <c r="C135" s="75" t="s">
        <v>367</v>
      </c>
      <c r="D135" s="69" t="s">
        <v>373</v>
      </c>
      <c r="E135" s="71"/>
      <c r="F135" s="71"/>
      <c r="G135" s="71"/>
      <c r="H135" s="18">
        <v>0</v>
      </c>
      <c r="I135">
        <v>545400</v>
      </c>
    </row>
    <row r="136" spans="1:9" ht="15.75" thickBot="1" x14ac:dyDescent="0.3">
      <c r="A136" s="80"/>
      <c r="B136" s="75" t="s">
        <v>368</v>
      </c>
      <c r="C136" s="75" t="s">
        <v>369</v>
      </c>
      <c r="D136" s="69" t="s">
        <v>271</v>
      </c>
      <c r="E136" s="71"/>
      <c r="F136" s="71"/>
      <c r="G136" s="71"/>
      <c r="H136" s="18"/>
      <c r="I136">
        <v>40397</v>
      </c>
    </row>
    <row r="137" spans="1:9" ht="15.75" thickBot="1" x14ac:dyDescent="0.3">
      <c r="A137" s="80"/>
      <c r="B137" s="81" t="s">
        <v>370</v>
      </c>
      <c r="C137" s="81" t="s">
        <v>369</v>
      </c>
      <c r="D137" s="82" t="s">
        <v>374</v>
      </c>
      <c r="E137" s="71"/>
      <c r="F137" s="71"/>
      <c r="G137" s="147"/>
      <c r="H137" s="114" t="e">
        <f>SUM(#REF!)</f>
        <v>#REF!</v>
      </c>
      <c r="I137">
        <v>16160</v>
      </c>
    </row>
    <row r="138" spans="1:9" x14ac:dyDescent="0.25">
      <c r="A138" s="71"/>
      <c r="B138" s="82" t="s">
        <v>381</v>
      </c>
      <c r="C138" s="82" t="s">
        <v>380</v>
      </c>
      <c r="D138" s="82" t="s">
        <v>33</v>
      </c>
      <c r="E138" s="71"/>
      <c r="F138" s="71"/>
      <c r="G138" s="71"/>
      <c r="H138" s="18"/>
      <c r="I138">
        <v>53732</v>
      </c>
    </row>
    <row r="139" spans="1:9" x14ac:dyDescent="0.25">
      <c r="A139" s="73"/>
      <c r="B139" s="81" t="s">
        <v>329</v>
      </c>
      <c r="C139" s="81" t="s">
        <v>147</v>
      </c>
      <c r="D139" s="82" t="s">
        <v>336</v>
      </c>
      <c r="E139" s="71"/>
      <c r="F139" s="71"/>
      <c r="G139" s="71"/>
      <c r="H139" s="18">
        <v>0</v>
      </c>
      <c r="I139">
        <v>34340</v>
      </c>
    </row>
    <row r="140" spans="1:9" x14ac:dyDescent="0.25">
      <c r="A140" s="77">
        <v>46005</v>
      </c>
      <c r="B140" s="82" t="s">
        <v>359</v>
      </c>
      <c r="C140" s="82" t="s">
        <v>360</v>
      </c>
      <c r="D140" s="82" t="s">
        <v>275</v>
      </c>
      <c r="E140" s="73"/>
      <c r="F140" s="73"/>
      <c r="G140" s="73"/>
      <c r="H140" s="18"/>
      <c r="I140">
        <v>266640</v>
      </c>
    </row>
    <row r="141" spans="1:9" x14ac:dyDescent="0.25">
      <c r="A141" s="80">
        <v>46006</v>
      </c>
      <c r="B141" s="81" t="s">
        <v>361</v>
      </c>
      <c r="C141" s="81" t="s">
        <v>362</v>
      </c>
      <c r="D141" s="82" t="s">
        <v>371</v>
      </c>
      <c r="E141" s="71"/>
      <c r="F141" s="71"/>
      <c r="G141" s="71"/>
      <c r="H141" s="18"/>
      <c r="I141">
        <v>37875</v>
      </c>
    </row>
    <row r="142" spans="1:9" ht="15.75" thickBot="1" x14ac:dyDescent="0.3">
      <c r="A142" s="80">
        <v>46007</v>
      </c>
      <c r="B142" s="82" t="s">
        <v>375</v>
      </c>
      <c r="C142" s="82" t="s">
        <v>302</v>
      </c>
      <c r="D142" s="82" t="s">
        <v>243</v>
      </c>
      <c r="E142" s="71"/>
      <c r="F142" s="71"/>
      <c r="G142" s="71"/>
      <c r="H142" s="18"/>
      <c r="I142">
        <v>20200</v>
      </c>
    </row>
    <row r="143" spans="1:9" ht="15.75" thickBot="1" x14ac:dyDescent="0.3">
      <c r="A143" s="71"/>
      <c r="B143" s="82" t="s">
        <v>382</v>
      </c>
      <c r="C143" s="82" t="s">
        <v>325</v>
      </c>
      <c r="D143" s="82" t="s">
        <v>333</v>
      </c>
      <c r="E143" s="71"/>
      <c r="F143" s="71"/>
      <c r="G143" s="147"/>
      <c r="H143" s="114" t="e">
        <f>SUM(#REF!)</f>
        <v>#REF!</v>
      </c>
      <c r="I143">
        <v>1355319</v>
      </c>
    </row>
    <row r="144" spans="1:9" x14ac:dyDescent="0.25">
      <c r="A144" s="158">
        <v>46008</v>
      </c>
      <c r="B144" s="74" t="s">
        <v>388</v>
      </c>
      <c r="C144" s="74" t="s">
        <v>252</v>
      </c>
      <c r="D144" s="153" t="s">
        <v>394</v>
      </c>
      <c r="E144" s="71"/>
      <c r="F144" s="71"/>
      <c r="G144" s="71"/>
      <c r="H144" s="152"/>
      <c r="I144">
        <v>38784</v>
      </c>
    </row>
    <row r="145" spans="1:9" x14ac:dyDescent="0.25">
      <c r="A145" s="147"/>
      <c r="B145" s="81" t="s">
        <v>391</v>
      </c>
      <c r="C145" s="81" t="s">
        <v>160</v>
      </c>
      <c r="D145" s="153" t="s">
        <v>33</v>
      </c>
      <c r="E145" s="71"/>
      <c r="F145" s="71"/>
      <c r="G145" s="71"/>
      <c r="H145" s="152"/>
      <c r="I145">
        <v>28278</v>
      </c>
    </row>
    <row r="146" spans="1:9" x14ac:dyDescent="0.25">
      <c r="A146" s="147"/>
      <c r="B146" s="75" t="s">
        <v>392</v>
      </c>
      <c r="C146" s="75" t="s">
        <v>22</v>
      </c>
      <c r="D146" s="153" t="s">
        <v>396</v>
      </c>
      <c r="E146" s="71"/>
      <c r="F146" s="71"/>
      <c r="G146" s="71"/>
      <c r="H146" s="152"/>
      <c r="I146">
        <v>14140</v>
      </c>
    </row>
    <row r="147" spans="1:9" x14ac:dyDescent="0.25">
      <c r="A147" s="147"/>
      <c r="B147" s="75" t="s">
        <v>400</v>
      </c>
      <c r="C147" s="75" t="s">
        <v>401</v>
      </c>
      <c r="D147" s="153" t="s">
        <v>412</v>
      </c>
      <c r="E147" s="71"/>
      <c r="F147" s="71"/>
      <c r="G147" s="71"/>
      <c r="H147" s="152"/>
    </row>
    <row r="148" spans="1:9" x14ac:dyDescent="0.25">
      <c r="A148" s="147"/>
      <c r="B148" s="81" t="s">
        <v>402</v>
      </c>
      <c r="C148" s="81" t="s">
        <v>147</v>
      </c>
      <c r="D148" s="153" t="s">
        <v>412</v>
      </c>
      <c r="E148" s="71"/>
      <c r="F148" s="71"/>
      <c r="G148" s="71"/>
      <c r="H148" s="152"/>
    </row>
    <row r="149" spans="1:9" x14ac:dyDescent="0.25">
      <c r="A149" s="147"/>
      <c r="B149" s="81" t="s">
        <v>404</v>
      </c>
      <c r="C149" s="81" t="s">
        <v>46</v>
      </c>
      <c r="D149" s="153" t="s">
        <v>414</v>
      </c>
      <c r="E149" s="71"/>
      <c r="F149" s="71"/>
      <c r="G149" s="71"/>
      <c r="H149" s="152"/>
      <c r="I149">
        <v>52524</v>
      </c>
    </row>
    <row r="150" spans="1:9" ht="15.75" thickBot="1" x14ac:dyDescent="0.3">
      <c r="A150" s="147"/>
      <c r="B150" s="75" t="s">
        <v>405</v>
      </c>
      <c r="C150" s="75" t="s">
        <v>406</v>
      </c>
      <c r="D150" s="153" t="s">
        <v>415</v>
      </c>
      <c r="E150" s="71"/>
      <c r="F150" s="71"/>
      <c r="G150" s="71"/>
      <c r="H150" s="152"/>
      <c r="I150">
        <v>16160</v>
      </c>
    </row>
    <row r="151" spans="1:9" ht="15.75" thickBot="1" x14ac:dyDescent="0.3">
      <c r="A151" s="147"/>
      <c r="B151" s="154" t="s">
        <v>409</v>
      </c>
      <c r="C151" s="154" t="s">
        <v>22</v>
      </c>
      <c r="D151" s="155" t="s">
        <v>418</v>
      </c>
      <c r="E151" s="157"/>
      <c r="F151" s="157"/>
      <c r="G151" s="157"/>
      <c r="H151" s="134" t="e">
        <f>SUM(#REF!)</f>
        <v>#REF!</v>
      </c>
      <c r="I151">
        <v>15150</v>
      </c>
    </row>
    <row r="152" spans="1:9" x14ac:dyDescent="0.25">
      <c r="A152" s="158">
        <v>46010</v>
      </c>
      <c r="B152" s="75" t="s">
        <v>419</v>
      </c>
      <c r="C152" s="75" t="s">
        <v>420</v>
      </c>
      <c r="D152" s="151" t="s">
        <v>427</v>
      </c>
      <c r="E152" s="71"/>
      <c r="F152" s="71"/>
      <c r="G152" s="71"/>
      <c r="H152" s="18"/>
      <c r="I152" s="18">
        <v>466620</v>
      </c>
    </row>
    <row r="153" spans="1:9" ht="15.75" thickBot="1" x14ac:dyDescent="0.3">
      <c r="A153" s="147"/>
      <c r="B153" s="81" t="s">
        <v>424</v>
      </c>
      <c r="C153" s="81" t="s">
        <v>425</v>
      </c>
      <c r="D153" s="151" t="s">
        <v>430</v>
      </c>
      <c r="E153" s="71"/>
      <c r="F153" s="71"/>
      <c r="G153" s="71"/>
      <c r="H153" s="152">
        <v>0</v>
      </c>
      <c r="I153">
        <v>72720</v>
      </c>
    </row>
    <row r="154" spans="1:9" ht="15.75" thickBot="1" x14ac:dyDescent="0.3">
      <c r="A154" s="147"/>
      <c r="B154" s="75" t="s">
        <v>426</v>
      </c>
      <c r="C154" s="75" t="s">
        <v>160</v>
      </c>
      <c r="D154" s="151" t="s">
        <v>431</v>
      </c>
      <c r="E154" s="71"/>
      <c r="F154" s="71"/>
      <c r="G154" s="71"/>
      <c r="H154" s="134" t="e">
        <f>SUM(#REF!)</f>
        <v>#REF!</v>
      </c>
      <c r="I154">
        <v>152712</v>
      </c>
    </row>
    <row r="155" spans="1:9" x14ac:dyDescent="0.25">
      <c r="A155" s="61"/>
      <c r="B155" s="64" t="s">
        <v>376</v>
      </c>
      <c r="C155" s="64" t="s">
        <v>302</v>
      </c>
      <c r="D155" s="64" t="s">
        <v>377</v>
      </c>
      <c r="E155" s="61"/>
      <c r="F155" s="61"/>
      <c r="G155" s="61"/>
      <c r="H155" s="18" t="s">
        <v>467</v>
      </c>
      <c r="I155">
        <v>20200</v>
      </c>
    </row>
    <row r="156" spans="1:9" x14ac:dyDescent="0.25">
      <c r="A156" s="61"/>
      <c r="B156" s="64" t="s">
        <v>379</v>
      </c>
      <c r="C156" s="64" t="s">
        <v>86</v>
      </c>
      <c r="D156" s="64" t="s">
        <v>378</v>
      </c>
      <c r="E156" s="61"/>
      <c r="F156" s="61"/>
      <c r="G156" s="61"/>
      <c r="H156" s="18"/>
      <c r="I156">
        <v>24240</v>
      </c>
    </row>
    <row r="157" spans="1:9" x14ac:dyDescent="0.25">
      <c r="A157" s="166"/>
      <c r="B157" s="67" t="s">
        <v>389</v>
      </c>
      <c r="C157" s="67" t="s">
        <v>147</v>
      </c>
      <c r="D157" s="171" t="s">
        <v>395</v>
      </c>
      <c r="E157" s="61"/>
      <c r="F157" s="61"/>
      <c r="G157" s="61"/>
      <c r="H157" s="18"/>
      <c r="I157">
        <v>34340</v>
      </c>
    </row>
    <row r="158" spans="1:9" x14ac:dyDescent="0.25">
      <c r="A158" s="166"/>
      <c r="B158" s="65" t="s">
        <v>390</v>
      </c>
      <c r="C158" s="65" t="s">
        <v>22</v>
      </c>
      <c r="D158" s="171" t="s">
        <v>275</v>
      </c>
      <c r="E158" s="61"/>
      <c r="F158" s="61"/>
      <c r="G158" s="61"/>
      <c r="H158" s="18" t="s">
        <v>467</v>
      </c>
      <c r="I158">
        <v>15150</v>
      </c>
    </row>
    <row r="159" spans="1:9" x14ac:dyDescent="0.25">
      <c r="A159" s="166"/>
      <c r="B159" s="167" t="s">
        <v>393</v>
      </c>
      <c r="C159" s="167" t="s">
        <v>22</v>
      </c>
      <c r="D159" s="168" t="s">
        <v>397</v>
      </c>
      <c r="E159" s="169"/>
      <c r="F159" s="169"/>
      <c r="G159" s="170"/>
      <c r="H159" s="18" t="s">
        <v>467</v>
      </c>
      <c r="I159">
        <v>28280</v>
      </c>
    </row>
    <row r="160" spans="1:9" x14ac:dyDescent="0.25">
      <c r="A160" s="63">
        <v>46009</v>
      </c>
      <c r="B160" s="65" t="s">
        <v>398</v>
      </c>
      <c r="C160" s="65" t="s">
        <v>22</v>
      </c>
      <c r="D160" s="171" t="s">
        <v>410</v>
      </c>
      <c r="E160" s="61"/>
      <c r="F160" s="61"/>
      <c r="G160" s="61"/>
      <c r="H160" s="18" t="s">
        <v>467</v>
      </c>
      <c r="I160">
        <v>20199</v>
      </c>
    </row>
    <row r="161" spans="1:9" x14ac:dyDescent="0.25">
      <c r="A161" s="166"/>
      <c r="B161" s="67" t="s">
        <v>403</v>
      </c>
      <c r="C161" s="67" t="s">
        <v>46</v>
      </c>
      <c r="D161" s="171" t="s">
        <v>413</v>
      </c>
      <c r="E161" s="61"/>
      <c r="F161" s="61"/>
      <c r="G161" s="61"/>
      <c r="H161" s="18"/>
      <c r="I161">
        <v>110292</v>
      </c>
    </row>
    <row r="162" spans="1:9" x14ac:dyDescent="0.25">
      <c r="A162" s="166"/>
      <c r="B162" s="67" t="s">
        <v>408</v>
      </c>
      <c r="C162" s="67" t="s">
        <v>310</v>
      </c>
      <c r="D162" s="174" t="s">
        <v>417</v>
      </c>
      <c r="E162" s="61"/>
      <c r="F162" s="61"/>
      <c r="G162" s="61"/>
      <c r="H162" s="18" t="s">
        <v>467</v>
      </c>
      <c r="I162">
        <v>14140</v>
      </c>
    </row>
    <row r="163" spans="1:9" x14ac:dyDescent="0.25">
      <c r="A163" s="166"/>
      <c r="B163" s="67" t="s">
        <v>439</v>
      </c>
      <c r="C163" s="67" t="s">
        <v>147</v>
      </c>
      <c r="D163" s="175" t="s">
        <v>427</v>
      </c>
      <c r="E163" s="61"/>
      <c r="F163" s="61"/>
      <c r="G163" s="61"/>
      <c r="H163" s="18"/>
      <c r="I163">
        <v>30304</v>
      </c>
    </row>
    <row r="164" spans="1:9" x14ac:dyDescent="0.25">
      <c r="A164" s="73"/>
      <c r="B164" s="75" t="s">
        <v>311</v>
      </c>
      <c r="C164" s="75" t="s">
        <v>86</v>
      </c>
      <c r="D164" s="69" t="s">
        <v>85</v>
      </c>
      <c r="E164" s="71"/>
      <c r="F164" s="71"/>
      <c r="G164" s="71"/>
      <c r="H164" s="18">
        <v>83325</v>
      </c>
    </row>
    <row r="165" spans="1:9" x14ac:dyDescent="0.25">
      <c r="A165" s="80"/>
      <c r="B165" s="75" t="s">
        <v>363</v>
      </c>
      <c r="C165" s="75" t="s">
        <v>364</v>
      </c>
      <c r="D165" s="69" t="s">
        <v>372</v>
      </c>
      <c r="E165" s="71"/>
      <c r="F165" s="71"/>
      <c r="G165" s="71"/>
      <c r="H165" s="18">
        <v>30300</v>
      </c>
    </row>
    <row r="166" spans="1:9" x14ac:dyDescent="0.25">
      <c r="A166" s="147"/>
      <c r="B166" s="75" t="s">
        <v>399</v>
      </c>
      <c r="C166" s="75" t="s">
        <v>22</v>
      </c>
      <c r="D166" s="153" t="s">
        <v>411</v>
      </c>
      <c r="E166" s="71"/>
      <c r="F166" s="71"/>
      <c r="G166" s="71"/>
      <c r="H166" s="18">
        <v>37876</v>
      </c>
    </row>
    <row r="167" spans="1:9" ht="30" x14ac:dyDescent="0.25">
      <c r="A167" s="147"/>
      <c r="B167" s="81" t="s">
        <v>421</v>
      </c>
      <c r="C167" s="81" t="s">
        <v>46</v>
      </c>
      <c r="D167" s="81" t="s">
        <v>428</v>
      </c>
      <c r="E167" s="71"/>
      <c r="F167" s="71"/>
      <c r="G167" s="71"/>
      <c r="H167" s="18">
        <v>88880</v>
      </c>
    </row>
    <row r="168" spans="1:9" x14ac:dyDescent="0.25">
      <c r="A168" s="147"/>
      <c r="B168" s="154" t="s">
        <v>422</v>
      </c>
      <c r="C168" s="154" t="s">
        <v>423</v>
      </c>
      <c r="D168" s="155" t="s">
        <v>429</v>
      </c>
      <c r="E168" s="157"/>
      <c r="F168" s="71"/>
      <c r="G168" s="71"/>
      <c r="H168" s="18">
        <v>135744</v>
      </c>
    </row>
    <row r="169" spans="1:9" x14ac:dyDescent="0.25">
      <c r="A169" s="147"/>
      <c r="B169" s="81" t="s">
        <v>440</v>
      </c>
      <c r="C169" s="81" t="s">
        <v>46</v>
      </c>
      <c r="D169" s="199" t="s">
        <v>445</v>
      </c>
      <c r="E169" s="71"/>
      <c r="F169" s="71"/>
      <c r="G169" s="71"/>
      <c r="H169" s="18">
        <v>57772</v>
      </c>
    </row>
    <row r="170" spans="1:9" x14ac:dyDescent="0.25">
      <c r="A170" s="158">
        <v>46013</v>
      </c>
      <c r="B170" s="75" t="s">
        <v>447</v>
      </c>
      <c r="C170" s="75" t="s">
        <v>448</v>
      </c>
      <c r="D170" s="199" t="s">
        <v>450</v>
      </c>
      <c r="E170" s="71"/>
      <c r="F170" s="71"/>
      <c r="G170" s="71"/>
      <c r="H170" s="18">
        <v>29088</v>
      </c>
    </row>
    <row r="171" spans="1:9" x14ac:dyDescent="0.25">
      <c r="A171" s="213"/>
      <c r="B171" s="215" t="s">
        <v>471</v>
      </c>
      <c r="C171" s="215" t="s">
        <v>147</v>
      </c>
      <c r="D171" s="215" t="s">
        <v>483</v>
      </c>
      <c r="E171" s="207"/>
      <c r="F171" s="207"/>
      <c r="G171" s="207"/>
      <c r="H171" s="18">
        <v>16160</v>
      </c>
    </row>
    <row r="172" spans="1:9" x14ac:dyDescent="0.25">
      <c r="A172" s="213"/>
      <c r="B172" s="215" t="s">
        <v>472</v>
      </c>
      <c r="C172" s="215" t="s">
        <v>473</v>
      </c>
      <c r="D172" s="215" t="s">
        <v>484</v>
      </c>
      <c r="E172" s="207"/>
      <c r="F172" s="207"/>
      <c r="G172" s="207"/>
      <c r="H172" s="18">
        <v>42016</v>
      </c>
    </row>
    <row r="173" spans="1:9" x14ac:dyDescent="0.25">
      <c r="A173" s="213"/>
      <c r="B173" s="215" t="s">
        <v>474</v>
      </c>
      <c r="C173" s="215" t="s">
        <v>475</v>
      </c>
      <c r="D173" s="216" t="s">
        <v>485</v>
      </c>
      <c r="E173" s="207"/>
      <c r="F173" s="207"/>
      <c r="G173" s="207"/>
      <c r="H173" s="18">
        <v>24237</v>
      </c>
    </row>
    <row r="174" spans="1:9" x14ac:dyDescent="0.25">
      <c r="A174" s="212"/>
      <c r="B174" s="209" t="s">
        <v>365</v>
      </c>
      <c r="C174" s="209" t="s">
        <v>214</v>
      </c>
      <c r="D174" s="208" t="s">
        <v>210</v>
      </c>
      <c r="E174" s="207"/>
      <c r="F174" s="207"/>
      <c r="G174" s="207"/>
      <c r="H174" s="18">
        <v>84840</v>
      </c>
    </row>
    <row r="175" spans="1:9" x14ac:dyDescent="0.25">
      <c r="A175" s="213"/>
      <c r="B175" s="209" t="s">
        <v>407</v>
      </c>
      <c r="C175" s="209" t="s">
        <v>83</v>
      </c>
      <c r="D175" s="214" t="s">
        <v>416</v>
      </c>
      <c r="E175" s="207"/>
      <c r="F175" s="207"/>
      <c r="G175" s="207"/>
      <c r="H175" s="18">
        <v>79184</v>
      </c>
    </row>
    <row r="176" spans="1:9" x14ac:dyDescent="0.25">
      <c r="A176" s="213"/>
      <c r="B176" s="209" t="s">
        <v>437</v>
      </c>
      <c r="C176" s="209" t="s">
        <v>22</v>
      </c>
      <c r="D176" s="209" t="s">
        <v>443</v>
      </c>
      <c r="E176" s="207"/>
      <c r="F176" s="207"/>
      <c r="G176" s="207"/>
      <c r="H176" s="18">
        <v>26259</v>
      </c>
    </row>
    <row r="177" spans="1:8" x14ac:dyDescent="0.25">
      <c r="A177" s="210">
        <v>45973</v>
      </c>
      <c r="B177" s="211" t="s">
        <v>300</v>
      </c>
      <c r="C177" s="211" t="s">
        <v>22</v>
      </c>
      <c r="D177" s="206" t="s">
        <v>284</v>
      </c>
      <c r="E177" s="207"/>
      <c r="F177" s="207"/>
      <c r="G177" s="207"/>
      <c r="H177" s="18">
        <v>18180</v>
      </c>
    </row>
    <row r="178" spans="1:8" x14ac:dyDescent="0.25">
      <c r="A178" s="205"/>
      <c r="B178" s="206" t="s">
        <v>294</v>
      </c>
      <c r="C178" s="206" t="s">
        <v>293</v>
      </c>
      <c r="D178" s="206" t="s">
        <v>292</v>
      </c>
      <c r="E178" s="207"/>
      <c r="F178" s="207"/>
      <c r="G178" s="207"/>
      <c r="H178" s="18">
        <v>287850</v>
      </c>
    </row>
    <row r="179" spans="1:8" x14ac:dyDescent="0.25">
      <c r="A179" s="205"/>
      <c r="B179" s="208" t="s">
        <v>282</v>
      </c>
      <c r="C179" s="208" t="s">
        <v>283</v>
      </c>
      <c r="D179" s="209" t="s">
        <v>284</v>
      </c>
      <c r="E179" s="207"/>
      <c r="F179" s="207"/>
      <c r="G179" s="207"/>
      <c r="H179" s="18">
        <v>18180</v>
      </c>
    </row>
    <row r="180" spans="1:8" x14ac:dyDescent="0.25">
      <c r="A180" s="158">
        <v>46014</v>
      </c>
      <c r="B180" s="81" t="s">
        <v>463</v>
      </c>
      <c r="C180" s="81" t="s">
        <v>60</v>
      </c>
      <c r="D180" s="224" t="s">
        <v>466</v>
      </c>
      <c r="E180" s="225"/>
      <c r="F180" s="71"/>
      <c r="G180" s="71"/>
      <c r="H180" s="18">
        <v>14140</v>
      </c>
    </row>
    <row r="181" spans="1:8" x14ac:dyDescent="0.25">
      <c r="A181" s="147"/>
      <c r="B181" s="223" t="s">
        <v>464</v>
      </c>
      <c r="C181" s="223" t="s">
        <v>465</v>
      </c>
      <c r="D181" s="223" t="s">
        <v>412</v>
      </c>
      <c r="E181" s="71"/>
      <c r="F181" s="71"/>
      <c r="G181" s="71"/>
      <c r="H181" s="18">
        <v>14140</v>
      </c>
    </row>
    <row r="182" spans="1:8" x14ac:dyDescent="0.25">
      <c r="A182" s="147"/>
      <c r="B182" s="226" t="s">
        <v>469</v>
      </c>
      <c r="C182" s="226" t="s">
        <v>22</v>
      </c>
      <c r="D182" s="226" t="s">
        <v>482</v>
      </c>
      <c r="E182" s="71"/>
      <c r="F182" s="71"/>
      <c r="G182" s="71"/>
      <c r="H182" s="18">
        <v>15150</v>
      </c>
    </row>
    <row r="183" spans="1:8" x14ac:dyDescent="0.25">
      <c r="A183" s="147"/>
      <c r="B183" s="226" t="s">
        <v>476</v>
      </c>
      <c r="C183" s="226" t="s">
        <v>477</v>
      </c>
      <c r="D183" s="226" t="s">
        <v>486</v>
      </c>
      <c r="E183" s="71"/>
      <c r="F183" s="71"/>
      <c r="G183" s="71"/>
      <c r="H183" s="18">
        <v>15150</v>
      </c>
    </row>
    <row r="184" spans="1:8" x14ac:dyDescent="0.25">
      <c r="A184" s="147"/>
      <c r="B184" s="226" t="s">
        <v>478</v>
      </c>
      <c r="C184" s="226" t="s">
        <v>479</v>
      </c>
      <c r="D184" s="226" t="s">
        <v>487</v>
      </c>
      <c r="E184" s="71"/>
      <c r="F184" s="71"/>
      <c r="G184" s="71"/>
      <c r="H184" s="18">
        <v>791133</v>
      </c>
    </row>
    <row r="185" spans="1:8" x14ac:dyDescent="0.25">
      <c r="A185" s="147"/>
      <c r="B185" s="223" t="s">
        <v>507</v>
      </c>
      <c r="C185" s="223" t="s">
        <v>135</v>
      </c>
      <c r="D185" s="228" t="s">
        <v>509</v>
      </c>
      <c r="E185" s="71"/>
      <c r="F185" s="71"/>
      <c r="G185" s="71"/>
      <c r="H185" s="18">
        <v>20000</v>
      </c>
    </row>
    <row r="186" spans="1:8" x14ac:dyDescent="0.25">
      <c r="A186" s="73"/>
      <c r="B186" s="69" t="s">
        <v>299</v>
      </c>
      <c r="C186" s="69" t="s">
        <v>48</v>
      </c>
      <c r="D186" s="70"/>
      <c r="E186" s="71"/>
      <c r="F186" s="71"/>
      <c r="G186" s="71"/>
      <c r="H186" s="18">
        <v>433492</v>
      </c>
    </row>
    <row r="187" spans="1:8" x14ac:dyDescent="0.25">
      <c r="A187" s="158">
        <v>46011</v>
      </c>
      <c r="B187" s="81" t="s">
        <v>436</v>
      </c>
      <c r="C187" s="81" t="s">
        <v>135</v>
      </c>
      <c r="D187" s="199" t="s">
        <v>442</v>
      </c>
      <c r="E187" s="71"/>
      <c r="F187" s="225"/>
      <c r="G187" s="225"/>
      <c r="H187" s="18">
        <v>50500</v>
      </c>
    </row>
    <row r="188" spans="1:8" x14ac:dyDescent="0.25">
      <c r="A188" s="147"/>
      <c r="B188" s="75" t="s">
        <v>441</v>
      </c>
      <c r="C188" s="75" t="s">
        <v>46</v>
      </c>
      <c r="D188" s="199" t="s">
        <v>446</v>
      </c>
      <c r="E188" s="71"/>
      <c r="F188" s="71"/>
      <c r="G188" s="71"/>
      <c r="H188" s="18">
        <v>88880</v>
      </c>
    </row>
    <row r="189" spans="1:8" x14ac:dyDescent="0.25">
      <c r="A189" s="147"/>
      <c r="B189" s="223" t="s">
        <v>449</v>
      </c>
      <c r="C189" s="223" t="s">
        <v>46</v>
      </c>
      <c r="D189" s="240" t="s">
        <v>451</v>
      </c>
      <c r="E189" s="71"/>
      <c r="F189" s="71"/>
      <c r="G189" s="71"/>
      <c r="H189" s="18">
        <v>116150</v>
      </c>
    </row>
    <row r="190" spans="1:8" x14ac:dyDescent="0.25">
      <c r="A190" s="158">
        <v>46015</v>
      </c>
      <c r="B190" s="226" t="s">
        <v>468</v>
      </c>
      <c r="C190" s="226" t="s">
        <v>22</v>
      </c>
      <c r="D190" s="226" t="s">
        <v>481</v>
      </c>
      <c r="E190" s="71"/>
      <c r="F190" s="71"/>
      <c r="G190" s="71"/>
      <c r="H190" s="18">
        <v>28278</v>
      </c>
    </row>
    <row r="191" spans="1:8" x14ac:dyDescent="0.25">
      <c r="A191" s="248">
        <v>45993</v>
      </c>
      <c r="B191" s="249" t="s">
        <v>183</v>
      </c>
      <c r="C191" s="250" t="s">
        <v>184</v>
      </c>
      <c r="D191" s="249" t="s">
        <v>185</v>
      </c>
      <c r="E191" s="250" t="s">
        <v>27</v>
      </c>
      <c r="F191" s="251"/>
      <c r="G191" s="252"/>
      <c r="H191" s="18">
        <v>109080</v>
      </c>
    </row>
    <row r="192" spans="1:8" x14ac:dyDescent="0.25">
      <c r="A192" s="253">
        <v>46018</v>
      </c>
      <c r="B192" s="254" t="s">
        <v>510</v>
      </c>
      <c r="C192" s="254" t="s">
        <v>147</v>
      </c>
      <c r="D192" s="255" t="s">
        <v>511</v>
      </c>
      <c r="E192" s="251"/>
      <c r="F192" s="251"/>
      <c r="G192" s="251"/>
      <c r="H192" s="18">
        <v>16161</v>
      </c>
    </row>
    <row r="193" spans="1:8" x14ac:dyDescent="0.25">
      <c r="A193" s="256"/>
      <c r="B193" s="258" t="s">
        <v>516</v>
      </c>
      <c r="C193" s="258" t="s">
        <v>517</v>
      </c>
      <c r="D193" s="255" t="s">
        <v>521</v>
      </c>
      <c r="E193" s="251"/>
      <c r="F193" s="251"/>
      <c r="G193" s="251"/>
      <c r="H193" s="18">
        <v>14140</v>
      </c>
    </row>
    <row r="194" spans="1:8" x14ac:dyDescent="0.25">
      <c r="A194" s="256"/>
      <c r="B194" s="257" t="s">
        <v>518</v>
      </c>
      <c r="C194" s="257" t="s">
        <v>160</v>
      </c>
      <c r="D194" s="255" t="s">
        <v>521</v>
      </c>
      <c r="E194" s="251"/>
      <c r="F194" s="251"/>
      <c r="G194" s="251"/>
      <c r="H194" s="18">
        <v>107464</v>
      </c>
    </row>
    <row r="195" spans="1:8" x14ac:dyDescent="0.25">
      <c r="A195" s="256"/>
      <c r="B195" s="254" t="s">
        <v>523</v>
      </c>
      <c r="C195" s="254" t="s">
        <v>310</v>
      </c>
      <c r="D195" s="259" t="s">
        <v>529</v>
      </c>
      <c r="E195" s="251"/>
      <c r="F195" s="251"/>
      <c r="G195" s="251"/>
      <c r="H195" s="18">
        <v>14140</v>
      </c>
    </row>
    <row r="196" spans="1:8" x14ac:dyDescent="0.25">
      <c r="A196" s="260">
        <v>46017</v>
      </c>
      <c r="B196" s="261" t="s">
        <v>506</v>
      </c>
      <c r="C196" s="261" t="s">
        <v>135</v>
      </c>
      <c r="D196" s="262" t="s">
        <v>508</v>
      </c>
      <c r="E196" s="264"/>
      <c r="F196" s="264"/>
      <c r="G196" s="264"/>
      <c r="H196" s="18">
        <v>24240</v>
      </c>
    </row>
    <row r="197" spans="1:8" x14ac:dyDescent="0.25">
      <c r="A197" s="260">
        <v>46020</v>
      </c>
      <c r="B197" s="265" t="s">
        <v>515</v>
      </c>
      <c r="C197" s="265" t="s">
        <v>46</v>
      </c>
      <c r="D197" s="262" t="s">
        <v>520</v>
      </c>
      <c r="E197" s="264"/>
      <c r="F197" s="264"/>
      <c r="G197" s="264"/>
      <c r="H197" s="18">
        <v>73528</v>
      </c>
    </row>
    <row r="198" spans="1:8" x14ac:dyDescent="0.25">
      <c r="A198" s="266"/>
      <c r="B198" s="269" t="s">
        <v>524</v>
      </c>
      <c r="C198" s="269" t="s">
        <v>160</v>
      </c>
      <c r="D198" s="272" t="s">
        <v>533</v>
      </c>
      <c r="E198" s="264"/>
      <c r="F198" s="264"/>
      <c r="G198" s="264"/>
      <c r="H198" s="18">
        <v>18180</v>
      </c>
    </row>
    <row r="199" spans="1:8" x14ac:dyDescent="0.25">
      <c r="A199" s="266"/>
      <c r="B199" s="269" t="s">
        <v>525</v>
      </c>
      <c r="C199" s="269" t="s">
        <v>83</v>
      </c>
      <c r="D199" s="270" t="s">
        <v>530</v>
      </c>
      <c r="E199" s="264"/>
      <c r="F199" s="264"/>
      <c r="G199" s="264"/>
      <c r="H199" s="18">
        <v>90496</v>
      </c>
    </row>
    <row r="200" spans="1:8" x14ac:dyDescent="0.25">
      <c r="A200" s="266"/>
      <c r="B200" s="267" t="s">
        <v>527</v>
      </c>
      <c r="C200" s="267" t="s">
        <v>46</v>
      </c>
      <c r="D200" s="268" t="s">
        <v>532</v>
      </c>
      <c r="E200" s="264"/>
      <c r="F200" s="264"/>
      <c r="G200" s="264"/>
      <c r="H200" s="140">
        <v>84840</v>
      </c>
    </row>
    <row r="201" spans="1:8" x14ac:dyDescent="0.25">
      <c r="A201" s="260">
        <v>46022</v>
      </c>
      <c r="B201" s="269" t="s">
        <v>534</v>
      </c>
      <c r="C201" s="269" t="s">
        <v>160</v>
      </c>
      <c r="D201" s="262" t="s">
        <v>521</v>
      </c>
      <c r="E201" s="264"/>
      <c r="F201" s="264"/>
      <c r="G201" s="264"/>
      <c r="H201" s="18">
        <v>28278</v>
      </c>
    </row>
    <row r="202" spans="1:8" x14ac:dyDescent="0.25">
      <c r="A202" s="266"/>
      <c r="B202" s="267" t="s">
        <v>537</v>
      </c>
      <c r="C202" s="267" t="s">
        <v>538</v>
      </c>
      <c r="D202" s="273" t="s">
        <v>540</v>
      </c>
      <c r="E202" s="264"/>
      <c r="F202" s="264"/>
      <c r="G202" s="264"/>
      <c r="H202" s="18">
        <v>36360</v>
      </c>
    </row>
    <row r="203" spans="1:8" x14ac:dyDescent="0.25">
      <c r="A203" s="73"/>
      <c r="B203" s="82" t="s">
        <v>286</v>
      </c>
      <c r="C203" s="82" t="s">
        <v>22</v>
      </c>
      <c r="D203" s="82" t="s">
        <v>285</v>
      </c>
      <c r="E203" s="71"/>
      <c r="F203" s="71"/>
      <c r="G203" s="71"/>
      <c r="H203" s="18">
        <v>775680</v>
      </c>
    </row>
    <row r="204" spans="1:8" x14ac:dyDescent="0.25">
      <c r="A204" s="297">
        <v>45985</v>
      </c>
      <c r="B204" s="82" t="s">
        <v>118</v>
      </c>
      <c r="C204" s="72" t="s">
        <v>119</v>
      </c>
      <c r="D204" s="72" t="s">
        <v>120</v>
      </c>
      <c r="E204" s="71"/>
      <c r="F204" s="71"/>
      <c r="G204" s="70"/>
      <c r="H204" s="152">
        <v>153520</v>
      </c>
    </row>
    <row r="205" spans="1:8" x14ac:dyDescent="0.25">
      <c r="A205" s="278">
        <v>45987</v>
      </c>
      <c r="B205" s="279" t="s">
        <v>132</v>
      </c>
      <c r="C205" s="279" t="s">
        <v>133</v>
      </c>
      <c r="D205" s="280" t="s">
        <v>98</v>
      </c>
      <c r="E205" s="281" t="s">
        <v>27</v>
      </c>
      <c r="F205" s="282"/>
      <c r="G205" s="283"/>
      <c r="H205" s="284">
        <v>141400</v>
      </c>
    </row>
    <row r="206" spans="1:8" x14ac:dyDescent="0.25">
      <c r="A206" s="289"/>
      <c r="B206" s="290" t="s">
        <v>526</v>
      </c>
      <c r="C206" s="290" t="s">
        <v>83</v>
      </c>
      <c r="D206" s="291" t="s">
        <v>531</v>
      </c>
      <c r="E206" s="282"/>
      <c r="F206" s="282"/>
      <c r="G206" s="282"/>
      <c r="H206" s="138">
        <v>32322</v>
      </c>
    </row>
    <row r="207" spans="1:8" x14ac:dyDescent="0.25">
      <c r="A207" s="147"/>
      <c r="B207" s="75" t="s">
        <v>438</v>
      </c>
      <c r="C207" s="75" t="s">
        <v>48</v>
      </c>
      <c r="D207" s="199" t="s">
        <v>444</v>
      </c>
      <c r="E207" s="71"/>
      <c r="F207" s="71"/>
      <c r="G207" s="71"/>
      <c r="H207" s="152">
        <v>15150</v>
      </c>
    </row>
    <row r="208" spans="1:8" x14ac:dyDescent="0.25">
      <c r="A208" s="158">
        <v>46021</v>
      </c>
      <c r="B208" s="226" t="s">
        <v>522</v>
      </c>
      <c r="C208" s="226" t="s">
        <v>46</v>
      </c>
      <c r="D208" s="298" t="s">
        <v>528</v>
      </c>
      <c r="E208" s="71"/>
      <c r="F208" s="71"/>
      <c r="G208" s="71"/>
      <c r="H208" s="18">
        <v>199172</v>
      </c>
    </row>
    <row r="209" spans="1:8" x14ac:dyDescent="0.25">
      <c r="A209" s="147"/>
      <c r="B209" s="226" t="s">
        <v>535</v>
      </c>
      <c r="C209" s="226" t="s">
        <v>536</v>
      </c>
      <c r="D209" s="299" t="s">
        <v>539</v>
      </c>
      <c r="E209" s="71"/>
      <c r="F209" s="71"/>
      <c r="G209" s="71"/>
      <c r="H209" s="152">
        <v>1654380</v>
      </c>
    </row>
    <row r="210" spans="1:8" x14ac:dyDescent="0.25">
      <c r="A210" s="71"/>
      <c r="B210" s="226" t="s">
        <v>551</v>
      </c>
      <c r="C210" s="226" t="s">
        <v>48</v>
      </c>
      <c r="D210" s="299" t="s">
        <v>557</v>
      </c>
      <c r="E210" s="71"/>
      <c r="F210" s="71"/>
      <c r="G210" s="71"/>
      <c r="H210" s="18">
        <v>14140</v>
      </c>
    </row>
    <row r="211" spans="1:8" x14ac:dyDescent="0.25">
      <c r="A211" s="71"/>
      <c r="B211" s="226" t="s">
        <v>550</v>
      </c>
      <c r="C211" s="226" t="s">
        <v>48</v>
      </c>
      <c r="D211" s="299" t="s">
        <v>556</v>
      </c>
      <c r="E211" s="71"/>
      <c r="F211" s="71"/>
      <c r="G211" s="71"/>
      <c r="H211" s="18">
        <v>15150</v>
      </c>
    </row>
    <row r="212" spans="1:8" x14ac:dyDescent="0.25">
      <c r="A212" s="80">
        <v>46025</v>
      </c>
      <c r="B212" s="226" t="s">
        <v>549</v>
      </c>
      <c r="C212" s="226" t="s">
        <v>479</v>
      </c>
      <c r="D212" s="299" t="s">
        <v>554</v>
      </c>
      <c r="E212" s="71"/>
      <c r="F212" s="71"/>
      <c r="G212" s="71"/>
      <c r="H212" s="18">
        <v>106050</v>
      </c>
    </row>
    <row r="213" spans="1:8" x14ac:dyDescent="0.25">
      <c r="A213" s="158"/>
      <c r="B213" s="302" t="s">
        <v>570</v>
      </c>
      <c r="C213" s="302" t="s">
        <v>465</v>
      </c>
      <c r="D213" s="303" t="s">
        <v>575</v>
      </c>
      <c r="E213" s="71"/>
      <c r="F213" s="71"/>
      <c r="G213" s="71"/>
      <c r="H213" s="18">
        <v>14140</v>
      </c>
    </row>
    <row r="214" spans="1:8" ht="15.75" thickBot="1" x14ac:dyDescent="0.3">
      <c r="A214" s="147"/>
      <c r="B214" s="302" t="s">
        <v>571</v>
      </c>
      <c r="C214" s="302" t="s">
        <v>572</v>
      </c>
      <c r="D214" s="303" t="s">
        <v>576</v>
      </c>
      <c r="E214" s="71"/>
      <c r="F214" s="71"/>
      <c r="G214" s="71"/>
      <c r="H214" s="18">
        <v>14140</v>
      </c>
    </row>
    <row r="215" spans="1:8" ht="15.75" thickBot="1" x14ac:dyDescent="0.3">
      <c r="A215" s="158">
        <v>45663</v>
      </c>
      <c r="B215" s="302" t="s">
        <v>582</v>
      </c>
      <c r="C215" s="302" t="s">
        <v>583</v>
      </c>
      <c r="D215" s="303" t="s">
        <v>590</v>
      </c>
      <c r="E215" s="71"/>
      <c r="F215" s="71"/>
      <c r="G215" s="71"/>
      <c r="H215" s="131">
        <v>76356</v>
      </c>
    </row>
    <row r="216" spans="1:8" x14ac:dyDescent="0.25">
      <c r="A216" s="315"/>
      <c r="B216" s="316" t="s">
        <v>630</v>
      </c>
      <c r="C216" s="316" t="s">
        <v>479</v>
      </c>
      <c r="D216" s="317" t="s">
        <v>555</v>
      </c>
      <c r="E216" s="315"/>
      <c r="F216" s="315"/>
      <c r="G216" s="315"/>
      <c r="H216" s="18">
        <v>20200</v>
      </c>
    </row>
    <row r="217" spans="1:8" x14ac:dyDescent="0.25">
      <c r="A217" s="282"/>
      <c r="B217" s="319" t="s">
        <v>552</v>
      </c>
      <c r="C217" s="319" t="s">
        <v>553</v>
      </c>
      <c r="D217" s="320" t="s">
        <v>558</v>
      </c>
      <c r="E217" s="282"/>
      <c r="F217" s="282"/>
      <c r="G217" s="282"/>
      <c r="H217" s="18">
        <v>10000</v>
      </c>
    </row>
    <row r="218" spans="1:8" x14ac:dyDescent="0.25">
      <c r="A218" s="321">
        <v>45663</v>
      </c>
      <c r="B218" s="322" t="s">
        <v>578</v>
      </c>
      <c r="C218" s="322" t="s">
        <v>160</v>
      </c>
      <c r="D218" s="323" t="s">
        <v>587</v>
      </c>
      <c r="E218" s="282"/>
      <c r="F218" s="282"/>
      <c r="G218" s="282"/>
      <c r="H218" s="18">
        <v>164024</v>
      </c>
    </row>
    <row r="219" spans="1:8" x14ac:dyDescent="0.25">
      <c r="A219" s="321">
        <v>45663</v>
      </c>
      <c r="B219" s="322" t="s">
        <v>584</v>
      </c>
      <c r="C219" s="322" t="s">
        <v>585</v>
      </c>
      <c r="D219" s="323" t="s">
        <v>591</v>
      </c>
      <c r="E219" s="282"/>
      <c r="F219" s="282"/>
      <c r="G219" s="282"/>
      <c r="H219" s="296">
        <v>72720</v>
      </c>
    </row>
    <row r="220" spans="1:8" x14ac:dyDescent="0.25">
      <c r="A220" s="334"/>
      <c r="B220" s="339" t="s">
        <v>624</v>
      </c>
      <c r="C220" s="339" t="s">
        <v>22</v>
      </c>
      <c r="D220" s="340"/>
      <c r="E220" s="338"/>
      <c r="F220" s="39"/>
      <c r="G220" s="39"/>
      <c r="H220" s="18">
        <v>18180</v>
      </c>
    </row>
    <row r="221" spans="1:8" ht="30" x14ac:dyDescent="0.25">
      <c r="A221" s="334"/>
      <c r="B221" s="339" t="s">
        <v>625</v>
      </c>
      <c r="C221" s="339" t="s">
        <v>626</v>
      </c>
      <c r="D221" s="340"/>
      <c r="E221" s="338"/>
      <c r="F221" s="39"/>
      <c r="G221" s="39"/>
      <c r="H221" s="18">
        <v>16160</v>
      </c>
    </row>
    <row r="222" spans="1:8" x14ac:dyDescent="0.25">
      <c r="A222" s="341">
        <v>45665</v>
      </c>
      <c r="B222" s="42" t="s">
        <v>602</v>
      </c>
      <c r="C222" s="42" t="s">
        <v>147</v>
      </c>
      <c r="D222" s="342" t="s">
        <v>511</v>
      </c>
      <c r="E222" s="39"/>
      <c r="F222" s="39"/>
      <c r="G222" s="39"/>
      <c r="H222" s="18">
        <v>16161</v>
      </c>
    </row>
    <row r="223" spans="1:8" x14ac:dyDescent="0.25">
      <c r="A223" s="341">
        <v>45665</v>
      </c>
      <c r="B223" s="48" t="s">
        <v>603</v>
      </c>
      <c r="C223" s="48" t="s">
        <v>181</v>
      </c>
      <c r="D223" s="342" t="s">
        <v>605</v>
      </c>
      <c r="E223" s="39"/>
      <c r="F223" s="39"/>
      <c r="G223" s="39"/>
      <c r="H223" s="18">
        <v>58176</v>
      </c>
    </row>
    <row r="224" spans="1:8" x14ac:dyDescent="0.25">
      <c r="A224" s="341">
        <v>46029</v>
      </c>
      <c r="B224" s="55" t="s">
        <v>595</v>
      </c>
      <c r="C224" s="55" t="s">
        <v>135</v>
      </c>
      <c r="D224" s="343" t="s">
        <v>396</v>
      </c>
      <c r="E224" s="344"/>
      <c r="F224" s="39"/>
      <c r="G224" s="39"/>
      <c r="H224" s="296">
        <v>14140</v>
      </c>
    </row>
    <row r="225" spans="1:9" x14ac:dyDescent="0.25">
      <c r="A225" s="341">
        <v>46029</v>
      </c>
      <c r="B225" s="55" t="s">
        <v>596</v>
      </c>
      <c r="C225" s="55" t="s">
        <v>135</v>
      </c>
      <c r="D225" s="343" t="s">
        <v>600</v>
      </c>
      <c r="E225" s="344"/>
      <c r="F225" s="39"/>
      <c r="G225" s="39"/>
      <c r="H225" s="18">
        <v>24240</v>
      </c>
    </row>
    <row r="226" spans="1:9" x14ac:dyDescent="0.25">
      <c r="A226" s="341">
        <v>45663</v>
      </c>
      <c r="B226" s="55" t="s">
        <v>586</v>
      </c>
      <c r="C226" s="55" t="s">
        <v>135</v>
      </c>
      <c r="D226" s="343" t="s">
        <v>592</v>
      </c>
      <c r="E226" s="344"/>
      <c r="F226" s="39"/>
      <c r="G226" s="39"/>
      <c r="H226" s="18">
        <v>89688</v>
      </c>
    </row>
    <row r="227" spans="1:9" x14ac:dyDescent="0.25">
      <c r="A227" s="341"/>
      <c r="B227" s="345" t="s">
        <v>569</v>
      </c>
      <c r="C227" s="345" t="s">
        <v>147</v>
      </c>
      <c r="D227" s="347" t="s">
        <v>574</v>
      </c>
      <c r="E227" s="39"/>
      <c r="F227" s="39"/>
      <c r="G227" s="39"/>
      <c r="H227" s="18">
        <v>68680</v>
      </c>
    </row>
    <row r="228" spans="1:9" x14ac:dyDescent="0.25">
      <c r="A228" s="341">
        <v>45663</v>
      </c>
      <c r="B228" s="345" t="s">
        <v>577</v>
      </c>
      <c r="C228" s="345" t="s">
        <v>63</v>
      </c>
      <c r="D228" s="346" t="s">
        <v>575</v>
      </c>
      <c r="E228" s="39"/>
      <c r="F228" s="39"/>
      <c r="G228" s="39"/>
      <c r="H228" s="18">
        <v>14140</v>
      </c>
    </row>
    <row r="229" spans="1:9" x14ac:dyDescent="0.25">
      <c r="A229" s="334"/>
      <c r="B229" s="335" t="s">
        <v>480</v>
      </c>
      <c r="C229" s="335" t="s">
        <v>99</v>
      </c>
      <c r="D229" s="336" t="s">
        <v>412</v>
      </c>
      <c r="E229" s="39"/>
      <c r="F229" s="39"/>
      <c r="G229" s="39"/>
      <c r="H229" s="337">
        <v>28278</v>
      </c>
      <c r="I229" s="338"/>
    </row>
    <row r="230" spans="1:9" x14ac:dyDescent="0.25">
      <c r="A230" s="158">
        <v>46032</v>
      </c>
      <c r="B230" s="369" t="s">
        <v>643</v>
      </c>
      <c r="C230" s="369" t="s">
        <v>644</v>
      </c>
      <c r="D230" s="370"/>
      <c r="E230" s="71"/>
      <c r="F230" s="71"/>
      <c r="G230" s="71"/>
      <c r="H230" s="18">
        <v>28280</v>
      </c>
    </row>
    <row r="231" spans="1:9" x14ac:dyDescent="0.25">
      <c r="A231" s="158"/>
      <c r="B231" s="362" t="s">
        <v>622</v>
      </c>
      <c r="C231" s="363" t="s">
        <v>623</v>
      </c>
      <c r="D231" s="363"/>
      <c r="E231" s="364"/>
      <c r="F231" s="71"/>
      <c r="G231" s="71"/>
      <c r="H231" s="18">
        <v>52524</v>
      </c>
    </row>
    <row r="232" spans="1:9" x14ac:dyDescent="0.25">
      <c r="A232" s="147"/>
      <c r="B232" s="362" t="s">
        <v>627</v>
      </c>
      <c r="C232" s="363" t="s">
        <v>46</v>
      </c>
      <c r="D232" s="365"/>
      <c r="E232" s="364"/>
      <c r="F232" s="71"/>
      <c r="G232" s="71"/>
      <c r="H232" s="146">
        <v>48480</v>
      </c>
    </row>
    <row r="233" spans="1:9" x14ac:dyDescent="0.25">
      <c r="A233" s="147"/>
      <c r="B233" s="366" t="s">
        <v>628</v>
      </c>
      <c r="C233" s="367" t="s">
        <v>629</v>
      </c>
      <c r="D233" s="368"/>
      <c r="E233" s="364"/>
      <c r="F233" s="71"/>
      <c r="G233" s="71"/>
      <c r="H233" s="146">
        <v>18180</v>
      </c>
    </row>
    <row r="234" spans="1:9" x14ac:dyDescent="0.25">
      <c r="A234" s="158"/>
      <c r="B234" s="362" t="s">
        <v>619</v>
      </c>
      <c r="C234" s="363" t="s">
        <v>135</v>
      </c>
      <c r="D234" s="363"/>
      <c r="E234" s="364"/>
      <c r="F234" s="71"/>
      <c r="G234" s="71"/>
      <c r="H234" s="146">
        <v>10000</v>
      </c>
    </row>
    <row r="235" spans="1:9" x14ac:dyDescent="0.25">
      <c r="A235" s="158">
        <v>46031</v>
      </c>
      <c r="B235" s="362" t="s">
        <v>616</v>
      </c>
      <c r="C235" s="363" t="s">
        <v>135</v>
      </c>
      <c r="D235" s="363"/>
      <c r="E235" s="364"/>
      <c r="F235" s="71"/>
      <c r="G235" s="71"/>
      <c r="H235" s="146">
        <v>29088</v>
      </c>
    </row>
    <row r="236" spans="1:9" x14ac:dyDescent="0.25">
      <c r="A236" s="158"/>
      <c r="B236" s="362" t="s">
        <v>617</v>
      </c>
      <c r="C236" s="363" t="s">
        <v>135</v>
      </c>
      <c r="D236" s="363"/>
      <c r="E236" s="364"/>
      <c r="F236" s="71"/>
      <c r="G236" s="71"/>
      <c r="H236" s="146">
        <v>24241</v>
      </c>
    </row>
    <row r="237" spans="1:9" x14ac:dyDescent="0.25">
      <c r="A237" s="158">
        <v>45662</v>
      </c>
      <c r="B237" s="362" t="s">
        <v>568</v>
      </c>
      <c r="C237" s="302" t="s">
        <v>283</v>
      </c>
      <c r="D237" s="303" t="s">
        <v>573</v>
      </c>
      <c r="E237" s="71"/>
      <c r="F237" s="71"/>
      <c r="G237" s="71"/>
      <c r="H237" s="146">
        <v>37875</v>
      </c>
    </row>
    <row r="238" spans="1:9" x14ac:dyDescent="0.25">
      <c r="A238" s="158">
        <v>45663</v>
      </c>
      <c r="B238" s="362" t="s">
        <v>579</v>
      </c>
      <c r="C238" s="302" t="s">
        <v>479</v>
      </c>
      <c r="D238" s="303" t="s">
        <v>588</v>
      </c>
      <c r="E238" s="71"/>
      <c r="F238" s="71"/>
      <c r="G238" s="71"/>
      <c r="H238" s="146">
        <v>595526</v>
      </c>
    </row>
    <row r="239" spans="1:9" x14ac:dyDescent="0.25">
      <c r="A239" s="80"/>
      <c r="B239" s="154" t="s">
        <v>545</v>
      </c>
      <c r="C239" s="154" t="s">
        <v>46</v>
      </c>
      <c r="D239" s="299" t="s">
        <v>547</v>
      </c>
      <c r="E239" s="71"/>
      <c r="F239" s="71"/>
      <c r="G239" s="71"/>
      <c r="H239" s="146">
        <v>26260</v>
      </c>
    </row>
    <row r="240" spans="1:9" x14ac:dyDescent="0.25">
      <c r="A240" s="253">
        <v>46029</v>
      </c>
      <c r="B240" s="373" t="s">
        <v>597</v>
      </c>
      <c r="C240" s="373" t="s">
        <v>598</v>
      </c>
      <c r="D240" s="373" t="s">
        <v>601</v>
      </c>
      <c r="E240" s="374"/>
      <c r="F240" s="251"/>
      <c r="G240" s="251"/>
      <c r="H240" s="375">
        <v>33330</v>
      </c>
    </row>
    <row r="241" spans="1:9" x14ac:dyDescent="0.25">
      <c r="A241" s="253"/>
      <c r="B241" s="376" t="s">
        <v>618</v>
      </c>
      <c r="C241" s="377" t="s">
        <v>135</v>
      </c>
      <c r="D241" s="377"/>
      <c r="E241" s="378"/>
      <c r="F241" s="251"/>
      <c r="G241" s="251"/>
      <c r="H241" s="18">
        <v>24240</v>
      </c>
    </row>
    <row r="242" spans="1:9" x14ac:dyDescent="0.25">
      <c r="A242" s="253"/>
      <c r="B242" s="376" t="s">
        <v>620</v>
      </c>
      <c r="C242" s="377" t="s">
        <v>621</v>
      </c>
      <c r="D242" s="377"/>
      <c r="E242" s="378"/>
      <c r="F242" s="251"/>
      <c r="G242" s="251"/>
      <c r="H242" s="18">
        <v>634502</v>
      </c>
    </row>
    <row r="243" spans="1:9" x14ac:dyDescent="0.25">
      <c r="A243" s="253">
        <v>46032</v>
      </c>
      <c r="B243" s="376" t="s">
        <v>642</v>
      </c>
      <c r="C243" s="379" t="s">
        <v>167</v>
      </c>
      <c r="D243" s="380"/>
      <c r="E243" s="251"/>
      <c r="F243" s="251"/>
      <c r="G243" s="251"/>
      <c r="H243" s="18">
        <v>50502</v>
      </c>
    </row>
    <row r="244" spans="1:9" x14ac:dyDescent="0.25">
      <c r="A244" s="253">
        <v>46035</v>
      </c>
      <c r="B244" s="254" t="s">
        <v>651</v>
      </c>
      <c r="C244" s="254" t="s">
        <v>583</v>
      </c>
      <c r="D244" s="382"/>
      <c r="E244" s="251"/>
      <c r="F244" s="251"/>
      <c r="G244" s="251"/>
      <c r="H244" s="18">
        <v>109080</v>
      </c>
    </row>
    <row r="245" spans="1:9" x14ac:dyDescent="0.25">
      <c r="A245" s="253">
        <v>46035</v>
      </c>
      <c r="B245" s="254" t="s">
        <v>655</v>
      </c>
      <c r="C245" s="254" t="s">
        <v>86</v>
      </c>
      <c r="D245" s="382"/>
      <c r="E245" s="251"/>
      <c r="F245" s="251"/>
      <c r="G245" s="251"/>
      <c r="H245" s="18">
        <v>24237</v>
      </c>
    </row>
    <row r="246" spans="1:9" x14ac:dyDescent="0.25">
      <c r="A246" s="381">
        <v>46035</v>
      </c>
      <c r="B246" s="254" t="s">
        <v>656</v>
      </c>
      <c r="C246" s="254" t="s">
        <v>135</v>
      </c>
      <c r="D246" s="251"/>
      <c r="E246" s="251"/>
      <c r="F246" s="251"/>
      <c r="G246" s="251"/>
      <c r="H246" s="18">
        <v>20000</v>
      </c>
    </row>
    <row r="247" spans="1:9" x14ac:dyDescent="0.25">
      <c r="A247" s="385"/>
      <c r="B247" s="386" t="s">
        <v>326</v>
      </c>
      <c r="C247" s="386" t="s">
        <v>223</v>
      </c>
      <c r="D247" s="387" t="s">
        <v>334</v>
      </c>
      <c r="E247" s="388"/>
      <c r="F247" s="388"/>
      <c r="G247" s="388"/>
      <c r="H247" s="389">
        <v>563580</v>
      </c>
      <c r="I247" s="390"/>
    </row>
    <row r="248" spans="1:9" x14ac:dyDescent="0.25">
      <c r="A248" s="391">
        <v>46034</v>
      </c>
      <c r="B248" s="392" t="s">
        <v>645</v>
      </c>
      <c r="C248" s="392" t="s">
        <v>646</v>
      </c>
      <c r="D248" s="393"/>
      <c r="E248" s="388"/>
      <c r="F248" s="388"/>
      <c r="G248" s="388"/>
      <c r="H248" s="394">
        <v>43632</v>
      </c>
    </row>
    <row r="249" spans="1:9" x14ac:dyDescent="0.25">
      <c r="A249" s="391">
        <v>46035</v>
      </c>
      <c r="B249" s="396" t="s">
        <v>653</v>
      </c>
      <c r="C249" s="396" t="s">
        <v>46</v>
      </c>
      <c r="D249" s="398"/>
      <c r="E249" s="388"/>
      <c r="F249" s="388"/>
      <c r="G249" s="388"/>
      <c r="H249" s="394">
        <v>60600</v>
      </c>
    </row>
    <row r="250" spans="1:9" x14ac:dyDescent="0.25">
      <c r="A250" s="395">
        <v>46035</v>
      </c>
      <c r="B250" s="396" t="s">
        <v>657</v>
      </c>
      <c r="C250" s="396" t="s">
        <v>538</v>
      </c>
      <c r="D250" s="388"/>
      <c r="E250" s="388"/>
      <c r="F250" s="388"/>
      <c r="G250" s="388"/>
      <c r="H250" s="394">
        <v>327152</v>
      </c>
    </row>
    <row r="251" spans="1:9" x14ac:dyDescent="0.25">
      <c r="A251" s="395">
        <v>46036</v>
      </c>
      <c r="B251" s="399" t="s">
        <v>659</v>
      </c>
      <c r="C251" s="399" t="s">
        <v>147</v>
      </c>
      <c r="D251" s="400"/>
      <c r="E251" s="388"/>
      <c r="F251" s="388"/>
      <c r="G251" s="388"/>
      <c r="H251" s="394">
        <v>151904</v>
      </c>
      <c r="I251" s="5"/>
    </row>
    <row r="252" spans="1:9" x14ac:dyDescent="0.25">
      <c r="A252" s="63">
        <v>45665</v>
      </c>
      <c r="B252" s="401" t="s">
        <v>604</v>
      </c>
      <c r="C252" s="402" t="s">
        <v>48</v>
      </c>
      <c r="D252" s="402" t="s">
        <v>606</v>
      </c>
      <c r="E252" s="403"/>
      <c r="F252" s="61"/>
      <c r="G252" s="61"/>
      <c r="H252" s="66">
        <v>15150</v>
      </c>
    </row>
    <row r="253" spans="1:9" x14ac:dyDescent="0.25">
      <c r="A253" s="63">
        <v>46034</v>
      </c>
      <c r="B253" s="404" t="s">
        <v>648</v>
      </c>
      <c r="C253" s="404" t="s">
        <v>22</v>
      </c>
      <c r="D253" s="405"/>
      <c r="E253" s="61"/>
      <c r="F253" s="61"/>
      <c r="G253" s="61"/>
      <c r="H253" s="66">
        <v>28280</v>
      </c>
    </row>
    <row r="254" spans="1:9" x14ac:dyDescent="0.25">
      <c r="A254" s="63">
        <v>46035</v>
      </c>
      <c r="B254" s="406" t="s">
        <v>652</v>
      </c>
      <c r="C254" s="406" t="s">
        <v>46</v>
      </c>
      <c r="D254" s="407"/>
      <c r="E254" s="61"/>
      <c r="F254" s="61"/>
      <c r="G254" s="61"/>
      <c r="H254" s="66">
        <v>461550</v>
      </c>
    </row>
    <row r="255" spans="1:9" x14ac:dyDescent="0.25">
      <c r="A255" s="63">
        <v>46035</v>
      </c>
      <c r="B255" s="406" t="s">
        <v>654</v>
      </c>
      <c r="C255" s="406" t="s">
        <v>86</v>
      </c>
      <c r="D255" s="407"/>
      <c r="E255" s="61"/>
      <c r="F255" s="61"/>
      <c r="G255" s="61"/>
      <c r="H255" s="66">
        <v>181800</v>
      </c>
    </row>
    <row r="256" spans="1:9" x14ac:dyDescent="0.25">
      <c r="A256" s="220">
        <v>46036</v>
      </c>
      <c r="B256" s="408" t="s">
        <v>660</v>
      </c>
      <c r="C256" s="408" t="s">
        <v>48</v>
      </c>
      <c r="D256" s="410"/>
      <c r="E256" s="61"/>
      <c r="F256" s="61"/>
      <c r="G256" s="61"/>
      <c r="H256" s="66">
        <v>37876</v>
      </c>
      <c r="I256" s="5"/>
    </row>
    <row r="257" spans="1:9" x14ac:dyDescent="0.25">
      <c r="A257" s="220">
        <v>46036</v>
      </c>
      <c r="B257" s="408" t="s">
        <v>662</v>
      </c>
      <c r="C257" s="408" t="s">
        <v>22</v>
      </c>
      <c r="D257" s="410"/>
      <c r="E257" s="61"/>
      <c r="F257" s="61"/>
      <c r="G257" s="61"/>
      <c r="H257" s="66">
        <v>15150</v>
      </c>
      <c r="I257" s="5"/>
    </row>
    <row r="258" spans="1:9" x14ac:dyDescent="0.25">
      <c r="A258" s="220">
        <v>46036</v>
      </c>
      <c r="B258" s="408" t="s">
        <v>663</v>
      </c>
      <c r="C258" s="408" t="s">
        <v>664</v>
      </c>
      <c r="D258" s="409"/>
      <c r="E258" s="61"/>
      <c r="F258" s="61"/>
      <c r="G258" s="61"/>
      <c r="H258" s="66">
        <v>121200</v>
      </c>
      <c r="I258" s="5"/>
    </row>
    <row r="259" spans="1:9" x14ac:dyDescent="0.25">
      <c r="A259" s="411">
        <v>46038</v>
      </c>
      <c r="B259" s="406" t="s">
        <v>670</v>
      </c>
      <c r="C259" s="406" t="s">
        <v>22</v>
      </c>
      <c r="D259" s="412"/>
      <c r="E259" s="413"/>
      <c r="F259" s="61"/>
      <c r="G259" s="61"/>
      <c r="H259" s="66">
        <v>15150</v>
      </c>
    </row>
    <row r="260" spans="1:9" x14ac:dyDescent="0.25">
      <c r="A260" s="426">
        <v>46039</v>
      </c>
      <c r="B260" s="427" t="s">
        <v>675</v>
      </c>
      <c r="C260" s="427" t="s">
        <v>163</v>
      </c>
      <c r="D260" s="428"/>
      <c r="E260" s="430"/>
      <c r="F260" s="417"/>
      <c r="G260" s="417"/>
      <c r="H260" s="418">
        <v>63630</v>
      </c>
    </row>
    <row r="261" spans="1:9" x14ac:dyDescent="0.25">
      <c r="A261" s="426">
        <v>46039</v>
      </c>
      <c r="B261" s="427" t="s">
        <v>676</v>
      </c>
      <c r="C261" s="427" t="s">
        <v>46</v>
      </c>
      <c r="D261" s="428"/>
      <c r="E261" s="429"/>
      <c r="F261" s="417"/>
      <c r="G261" s="417"/>
      <c r="H261" s="418">
        <v>63024</v>
      </c>
    </row>
    <row r="262" spans="1:9" x14ac:dyDescent="0.25">
      <c r="A262" s="426">
        <v>46039</v>
      </c>
      <c r="B262" s="427" t="s">
        <v>678</v>
      </c>
      <c r="C262" s="427" t="s">
        <v>160</v>
      </c>
      <c r="D262" s="428"/>
      <c r="E262" s="429"/>
      <c r="F262" s="417"/>
      <c r="G262" s="417"/>
      <c r="H262" s="418">
        <v>104636</v>
      </c>
    </row>
    <row r="263" spans="1:9" x14ac:dyDescent="0.25">
      <c r="A263" s="421">
        <v>46037</v>
      </c>
      <c r="B263" s="415" t="s">
        <v>667</v>
      </c>
      <c r="C263" s="415" t="s">
        <v>135</v>
      </c>
      <c r="D263" s="424"/>
      <c r="E263" s="425"/>
      <c r="F263" s="417"/>
      <c r="G263" s="417"/>
      <c r="H263" s="418">
        <v>79992</v>
      </c>
    </row>
    <row r="264" spans="1:9" x14ac:dyDescent="0.25">
      <c r="A264" s="421">
        <v>46036</v>
      </c>
      <c r="B264" s="422" t="s">
        <v>661</v>
      </c>
      <c r="C264" s="422" t="s">
        <v>48</v>
      </c>
      <c r="D264" s="423"/>
      <c r="E264" s="417"/>
      <c r="F264" s="417"/>
      <c r="G264" s="417"/>
      <c r="H264" s="418">
        <v>18180</v>
      </c>
      <c r="I264" s="5"/>
    </row>
    <row r="265" spans="1:9" x14ac:dyDescent="0.25">
      <c r="A265" s="414">
        <v>46034</v>
      </c>
      <c r="B265" s="419" t="s">
        <v>649</v>
      </c>
      <c r="C265" s="419" t="s">
        <v>650</v>
      </c>
      <c r="D265" s="420"/>
      <c r="E265" s="417"/>
      <c r="F265" s="417"/>
      <c r="G265" s="417"/>
      <c r="H265" s="418">
        <v>28280</v>
      </c>
    </row>
    <row r="266" spans="1:9" x14ac:dyDescent="0.25">
      <c r="A266" s="414">
        <v>46026</v>
      </c>
      <c r="B266" s="415" t="s">
        <v>559</v>
      </c>
      <c r="C266" s="415" t="s">
        <v>560</v>
      </c>
      <c r="D266" s="416" t="s">
        <v>561</v>
      </c>
      <c r="E266" s="417"/>
      <c r="F266" s="417"/>
      <c r="G266" s="417"/>
      <c r="H266" s="418">
        <v>446660</v>
      </c>
      <c r="I266" s="5">
        <f>SUM(H260:H266)</f>
        <v>804402</v>
      </c>
    </row>
    <row r="267" spans="1:9" x14ac:dyDescent="0.25">
      <c r="A267" s="63">
        <v>46024</v>
      </c>
      <c r="B267" s="65" t="s">
        <v>544</v>
      </c>
      <c r="C267" s="65" t="s">
        <v>46</v>
      </c>
      <c r="D267" s="432" t="s">
        <v>546</v>
      </c>
      <c r="E267" s="403"/>
      <c r="F267" s="61"/>
      <c r="G267" s="61"/>
      <c r="H267" s="66">
        <v>326400</v>
      </c>
    </row>
    <row r="268" spans="1:9" x14ac:dyDescent="0.25">
      <c r="A268" s="63">
        <v>46029</v>
      </c>
      <c r="B268" s="406" t="s">
        <v>593</v>
      </c>
      <c r="C268" s="406" t="s">
        <v>594</v>
      </c>
      <c r="D268" s="432" t="s">
        <v>599</v>
      </c>
      <c r="E268" s="433"/>
      <c r="F268" s="434"/>
      <c r="G268" s="434"/>
      <c r="H268" s="66">
        <v>96000</v>
      </c>
    </row>
    <row r="269" spans="1:9" x14ac:dyDescent="0.25">
      <c r="A269" s="411">
        <v>46039</v>
      </c>
      <c r="B269" s="406" t="s">
        <v>677</v>
      </c>
      <c r="C269" s="406" t="s">
        <v>46</v>
      </c>
      <c r="D269" s="412"/>
      <c r="E269" s="434"/>
      <c r="F269" s="61"/>
      <c r="G269" s="61"/>
      <c r="H269" s="66">
        <v>121200</v>
      </c>
      <c r="I269" s="5"/>
    </row>
    <row r="270" spans="1:9" x14ac:dyDescent="0.25">
      <c r="A270" s="435">
        <v>46041</v>
      </c>
      <c r="B270" s="436" t="s">
        <v>686</v>
      </c>
      <c r="C270" s="436" t="s">
        <v>687</v>
      </c>
      <c r="D270" s="437"/>
      <c r="E270" s="470"/>
      <c r="F270" s="169"/>
      <c r="G270" s="169"/>
      <c r="H270" s="66">
        <v>218160</v>
      </c>
      <c r="I270" s="5">
        <f>SUM(H267:H270)</f>
        <v>761760</v>
      </c>
    </row>
    <row r="271" spans="1:9" x14ac:dyDescent="0.25">
      <c r="A271" s="80">
        <v>46038</v>
      </c>
      <c r="B271" s="81" t="s">
        <v>668</v>
      </c>
      <c r="C271" s="81" t="s">
        <v>669</v>
      </c>
      <c r="D271" s="438"/>
      <c r="E271" s="439"/>
      <c r="F271" s="71"/>
      <c r="G271" s="71"/>
      <c r="H271" s="245">
        <v>50504</v>
      </c>
      <c r="I271" s="5"/>
    </row>
    <row r="272" spans="1:9" x14ac:dyDescent="0.25">
      <c r="A272" s="440">
        <v>46039</v>
      </c>
      <c r="B272" s="226" t="s">
        <v>671</v>
      </c>
      <c r="C272" s="226" t="s">
        <v>672</v>
      </c>
      <c r="D272" s="441"/>
      <c r="E272" s="439"/>
      <c r="F272" s="71"/>
      <c r="G272" s="71"/>
      <c r="H272" s="245">
        <v>31512</v>
      </c>
      <c r="I272" s="5"/>
    </row>
    <row r="273" spans="1:9" x14ac:dyDescent="0.25">
      <c r="A273" s="440">
        <v>46039</v>
      </c>
      <c r="B273" s="226" t="s">
        <v>673</v>
      </c>
      <c r="C273" s="226" t="s">
        <v>135</v>
      </c>
      <c r="D273" s="441"/>
      <c r="E273" s="439"/>
      <c r="F273" s="71"/>
      <c r="G273" s="71"/>
      <c r="H273" s="245">
        <v>32319</v>
      </c>
      <c r="I273" s="5"/>
    </row>
    <row r="274" spans="1:9" x14ac:dyDescent="0.25">
      <c r="A274" s="440">
        <v>46039</v>
      </c>
      <c r="B274" s="226" t="s">
        <v>674</v>
      </c>
      <c r="C274" s="226" t="s">
        <v>163</v>
      </c>
      <c r="D274" s="441"/>
      <c r="E274" s="439"/>
      <c r="F274" s="71"/>
      <c r="G274" s="71"/>
      <c r="H274" s="245">
        <v>39390</v>
      </c>
      <c r="I274" s="5"/>
    </row>
    <row r="275" spans="1:9" x14ac:dyDescent="0.25">
      <c r="A275" s="440">
        <v>46041</v>
      </c>
      <c r="B275" s="226" t="s">
        <v>682</v>
      </c>
      <c r="C275" s="226" t="s">
        <v>46</v>
      </c>
      <c r="D275" s="441"/>
      <c r="E275" s="71"/>
      <c r="F275" s="71"/>
      <c r="G275" s="71"/>
      <c r="H275" s="245">
        <v>36764</v>
      </c>
    </row>
    <row r="276" spans="1:9" x14ac:dyDescent="0.25">
      <c r="A276" s="440">
        <v>46041</v>
      </c>
      <c r="B276" s="226" t="s">
        <v>683</v>
      </c>
      <c r="C276" s="226" t="s">
        <v>684</v>
      </c>
      <c r="D276" s="441"/>
      <c r="E276" s="71"/>
      <c r="F276" s="71"/>
      <c r="G276" s="71"/>
      <c r="H276" s="245">
        <v>10000</v>
      </c>
    </row>
    <row r="277" spans="1:9" x14ac:dyDescent="0.25">
      <c r="A277" s="440">
        <v>46041</v>
      </c>
      <c r="B277" s="226" t="s">
        <v>685</v>
      </c>
      <c r="C277" s="226" t="s">
        <v>684</v>
      </c>
      <c r="D277" s="441"/>
      <c r="E277" s="71"/>
      <c r="F277" s="71"/>
      <c r="G277" s="71"/>
      <c r="H277" s="245">
        <v>28280</v>
      </c>
    </row>
    <row r="278" spans="1:9" x14ac:dyDescent="0.25">
      <c r="A278" s="440">
        <v>46042</v>
      </c>
      <c r="B278" s="226" t="s">
        <v>694</v>
      </c>
      <c r="C278" s="226" t="s">
        <v>86</v>
      </c>
      <c r="D278" s="226"/>
      <c r="E278" s="71"/>
      <c r="F278" s="71"/>
      <c r="G278" s="71"/>
      <c r="H278" s="245">
        <v>20000</v>
      </c>
      <c r="I278" s="5">
        <f>SUM(H271:H278)</f>
        <v>248769</v>
      </c>
    </row>
    <row r="279" spans="1:9" x14ac:dyDescent="0.25">
      <c r="A279" s="442">
        <v>46042</v>
      </c>
      <c r="B279" s="443" t="s">
        <v>693</v>
      </c>
      <c r="C279" s="443" t="s">
        <v>86</v>
      </c>
      <c r="D279" s="444"/>
      <c r="E279" s="445"/>
      <c r="F279" s="445"/>
      <c r="G279" s="445"/>
      <c r="H279" s="468">
        <v>65044</v>
      </c>
      <c r="I279" s="5"/>
    </row>
    <row r="280" spans="1:9" x14ac:dyDescent="0.25">
      <c r="A280" s="442">
        <v>46042</v>
      </c>
      <c r="B280" s="443" t="s">
        <v>697</v>
      </c>
      <c r="C280" s="443" t="s">
        <v>231</v>
      </c>
      <c r="D280" s="469"/>
      <c r="E280" s="445"/>
      <c r="F280" s="445"/>
      <c r="G280" s="445"/>
      <c r="H280" s="468">
        <v>48480</v>
      </c>
    </row>
    <row r="281" spans="1:9" x14ac:dyDescent="0.25">
      <c r="A281" s="442">
        <v>46041</v>
      </c>
      <c r="B281" s="443" t="s">
        <v>679</v>
      </c>
      <c r="C281" s="443" t="s">
        <v>63</v>
      </c>
      <c r="D281" s="444"/>
      <c r="E281" s="445"/>
      <c r="F281" s="445"/>
      <c r="G281" s="445"/>
      <c r="H281" s="468">
        <v>48076</v>
      </c>
      <c r="I281" s="5">
        <f>SUM(H279:H281)</f>
        <v>161600</v>
      </c>
    </row>
    <row r="282" spans="1:9" x14ac:dyDescent="0.25">
      <c r="A282" s="446">
        <v>46044</v>
      </c>
      <c r="B282" s="290" t="s">
        <v>710</v>
      </c>
      <c r="C282" s="290" t="s">
        <v>621</v>
      </c>
      <c r="D282" s="448"/>
      <c r="E282" s="282"/>
      <c r="F282" s="282"/>
      <c r="G282" s="282"/>
      <c r="H282" s="467">
        <v>775680</v>
      </c>
    </row>
    <row r="283" spans="1:9" x14ac:dyDescent="0.25">
      <c r="A283" s="446">
        <v>46043</v>
      </c>
      <c r="B283" s="279" t="s">
        <v>701</v>
      </c>
      <c r="C283" s="279" t="s">
        <v>702</v>
      </c>
      <c r="D283" s="448"/>
      <c r="E283" s="282"/>
      <c r="F283" s="282"/>
      <c r="G283" s="282"/>
      <c r="H283" s="467">
        <v>14139</v>
      </c>
    </row>
    <row r="284" spans="1:9" x14ac:dyDescent="0.25">
      <c r="A284" s="446">
        <v>46042</v>
      </c>
      <c r="B284" s="290" t="s">
        <v>691</v>
      </c>
      <c r="C284" s="290" t="s">
        <v>692</v>
      </c>
      <c r="D284" s="447"/>
      <c r="E284" s="282"/>
      <c r="F284" s="282"/>
      <c r="G284" s="282"/>
      <c r="H284" s="467">
        <v>14140</v>
      </c>
      <c r="I284" s="5"/>
    </row>
    <row r="285" spans="1:9" x14ac:dyDescent="0.25">
      <c r="A285" s="456">
        <v>45681</v>
      </c>
      <c r="B285" s="451" t="s">
        <v>724</v>
      </c>
      <c r="C285" s="451" t="s">
        <v>538</v>
      </c>
      <c r="D285" s="452"/>
      <c r="E285" s="450"/>
      <c r="F285" s="450"/>
      <c r="G285" s="450"/>
      <c r="H285" s="466">
        <v>30304</v>
      </c>
    </row>
    <row r="286" spans="1:9" ht="30" x14ac:dyDescent="0.25">
      <c r="A286" s="456">
        <v>46045</v>
      </c>
      <c r="B286" s="451" t="s">
        <v>713</v>
      </c>
      <c r="C286" s="451" t="s">
        <v>714</v>
      </c>
      <c r="D286" s="452"/>
      <c r="E286" s="450"/>
      <c r="F286" s="450"/>
      <c r="G286" s="450"/>
      <c r="H286" s="466">
        <v>227250</v>
      </c>
    </row>
    <row r="287" spans="1:9" x14ac:dyDescent="0.25">
      <c r="A287" s="456">
        <v>46044</v>
      </c>
      <c r="B287" s="453" t="s">
        <v>706</v>
      </c>
      <c r="C287" s="453" t="s">
        <v>70</v>
      </c>
      <c r="D287" s="452"/>
      <c r="E287" s="450"/>
      <c r="F287" s="450"/>
      <c r="G287" s="450"/>
      <c r="H287" s="466">
        <v>28280</v>
      </c>
    </row>
    <row r="288" spans="1:9" x14ac:dyDescent="0.25">
      <c r="A288" s="456">
        <v>46043</v>
      </c>
      <c r="B288" s="453" t="s">
        <v>703</v>
      </c>
      <c r="C288" s="453" t="s">
        <v>147</v>
      </c>
      <c r="D288" s="452"/>
      <c r="E288" s="450"/>
      <c r="F288" s="450"/>
      <c r="G288" s="450"/>
      <c r="H288" s="466">
        <v>68682</v>
      </c>
    </row>
    <row r="289" spans="1:9" x14ac:dyDescent="0.25">
      <c r="A289" s="456">
        <v>46043</v>
      </c>
      <c r="B289" s="455" t="s">
        <v>698</v>
      </c>
      <c r="C289" s="455" t="s">
        <v>46</v>
      </c>
      <c r="D289" s="452"/>
      <c r="E289" s="450"/>
      <c r="F289" s="450"/>
      <c r="G289" s="450"/>
      <c r="H289" s="466">
        <v>89284</v>
      </c>
    </row>
    <row r="290" spans="1:9" x14ac:dyDescent="0.25">
      <c r="A290" s="456">
        <v>46043</v>
      </c>
      <c r="B290" s="455" t="s">
        <v>699</v>
      </c>
      <c r="C290" s="455" t="s">
        <v>22</v>
      </c>
      <c r="D290" s="452"/>
      <c r="E290" s="450"/>
      <c r="F290" s="450"/>
      <c r="G290" s="450"/>
      <c r="H290" s="466">
        <v>40398</v>
      </c>
    </row>
    <row r="291" spans="1:9" x14ac:dyDescent="0.25">
      <c r="A291" s="456">
        <v>46042</v>
      </c>
      <c r="B291" s="451" t="s">
        <v>695</v>
      </c>
      <c r="C291" s="451" t="s">
        <v>310</v>
      </c>
      <c r="D291" s="452"/>
      <c r="E291" s="450"/>
      <c r="F291" s="450"/>
      <c r="G291" s="450"/>
      <c r="H291" s="466">
        <v>40400</v>
      </c>
      <c r="I291" s="5"/>
    </row>
    <row r="292" spans="1:9" x14ac:dyDescent="0.25">
      <c r="A292" s="456">
        <v>46042</v>
      </c>
      <c r="B292" s="451" t="s">
        <v>696</v>
      </c>
      <c r="C292" s="451" t="s">
        <v>46</v>
      </c>
      <c r="D292" s="452"/>
      <c r="E292" s="450"/>
      <c r="F292" s="450"/>
      <c r="G292" s="450"/>
      <c r="H292" s="466">
        <v>52520</v>
      </c>
    </row>
    <row r="293" spans="1:9" x14ac:dyDescent="0.25">
      <c r="A293" s="456">
        <v>46042</v>
      </c>
      <c r="B293" s="451" t="s">
        <v>688</v>
      </c>
      <c r="C293" s="451" t="s">
        <v>689</v>
      </c>
      <c r="D293" s="457"/>
      <c r="E293" s="450"/>
      <c r="F293" s="450"/>
      <c r="G293" s="450"/>
      <c r="H293" s="466">
        <v>66660</v>
      </c>
      <c r="I293" s="5"/>
    </row>
    <row r="294" spans="1:9" x14ac:dyDescent="0.25">
      <c r="A294" s="456">
        <v>46041</v>
      </c>
      <c r="B294" s="451" t="s">
        <v>680</v>
      </c>
      <c r="C294" s="451" t="s">
        <v>681</v>
      </c>
      <c r="D294" s="457"/>
      <c r="E294" s="450"/>
      <c r="F294" s="450"/>
      <c r="G294" s="450"/>
      <c r="H294" s="466">
        <v>24240</v>
      </c>
      <c r="I294" s="5"/>
    </row>
    <row r="295" spans="1:9" x14ac:dyDescent="0.25">
      <c r="A295" s="458">
        <v>46034</v>
      </c>
      <c r="B295" s="449" t="s">
        <v>647</v>
      </c>
      <c r="C295" s="449" t="s">
        <v>48</v>
      </c>
      <c r="D295" s="449"/>
      <c r="E295" s="450"/>
      <c r="F295" s="450"/>
      <c r="G295" s="450"/>
      <c r="H295" s="466">
        <v>20200</v>
      </c>
    </row>
    <row r="296" spans="1:9" x14ac:dyDescent="0.25">
      <c r="A296" s="458">
        <v>46035</v>
      </c>
      <c r="B296" s="451" t="s">
        <v>658</v>
      </c>
      <c r="C296" s="451" t="s">
        <v>283</v>
      </c>
      <c r="D296" s="450"/>
      <c r="E296" s="450"/>
      <c r="F296" s="450"/>
      <c r="G296" s="450"/>
      <c r="H296" s="466">
        <v>18180</v>
      </c>
      <c r="I296" s="5">
        <f>SUM(H285:H296)</f>
        <v>706398</v>
      </c>
    </row>
    <row r="297" spans="1:9" x14ac:dyDescent="0.25">
      <c r="A297" s="464">
        <v>45681</v>
      </c>
      <c r="B297" s="462" t="s">
        <v>726</v>
      </c>
      <c r="C297" s="462" t="s">
        <v>727</v>
      </c>
      <c r="D297" s="460"/>
      <c r="E297" s="461"/>
      <c r="F297" s="461"/>
      <c r="G297" s="461"/>
      <c r="H297" s="465">
        <v>24240</v>
      </c>
    </row>
    <row r="298" spans="1:9" x14ac:dyDescent="0.25">
      <c r="A298" s="464">
        <v>46045</v>
      </c>
      <c r="B298" s="462" t="s">
        <v>715</v>
      </c>
      <c r="C298" s="462" t="s">
        <v>46</v>
      </c>
      <c r="D298" s="460"/>
      <c r="E298" s="461"/>
      <c r="F298" s="461"/>
      <c r="G298" s="461"/>
      <c r="H298" s="465">
        <v>14140</v>
      </c>
    </row>
    <row r="299" spans="1:9" x14ac:dyDescent="0.25">
      <c r="A299" s="464">
        <v>46045</v>
      </c>
      <c r="B299" s="462" t="s">
        <v>712</v>
      </c>
      <c r="C299" s="462" t="s">
        <v>63</v>
      </c>
      <c r="D299" s="460"/>
      <c r="E299" s="461"/>
      <c r="F299" s="461"/>
      <c r="G299" s="461"/>
      <c r="H299" s="465">
        <v>42420</v>
      </c>
    </row>
    <row r="300" spans="1:9" x14ac:dyDescent="0.25">
      <c r="A300" s="464">
        <v>46044</v>
      </c>
      <c r="B300" s="462" t="s">
        <v>709</v>
      </c>
      <c r="C300" s="462" t="s">
        <v>70</v>
      </c>
      <c r="D300" s="460"/>
      <c r="E300" s="461"/>
      <c r="F300" s="461"/>
      <c r="G300" s="461"/>
      <c r="H300" s="465">
        <v>28280</v>
      </c>
    </row>
    <row r="301" spans="1:9" x14ac:dyDescent="0.25">
      <c r="A301" s="464">
        <v>46043</v>
      </c>
      <c r="B301" s="459" t="s">
        <v>704</v>
      </c>
      <c r="C301" s="459" t="s">
        <v>479</v>
      </c>
      <c r="D301" s="460"/>
      <c r="E301" s="461"/>
      <c r="F301" s="461"/>
      <c r="G301" s="461"/>
      <c r="H301" s="465">
        <v>896880</v>
      </c>
      <c r="I301" s="5">
        <f>SUM(H297:H301)</f>
        <v>1005960</v>
      </c>
    </row>
    <row r="302" spans="1:9" x14ac:dyDescent="0.25">
      <c r="A302" s="482">
        <v>46048</v>
      </c>
      <c r="B302" s="485" t="s">
        <v>736</v>
      </c>
      <c r="C302" s="485" t="s">
        <v>538</v>
      </c>
      <c r="D302" s="486"/>
      <c r="E302" s="478"/>
      <c r="F302" s="478"/>
      <c r="G302" s="478"/>
      <c r="H302" s="479">
        <v>89688</v>
      </c>
    </row>
    <row r="303" spans="1:9" x14ac:dyDescent="0.25">
      <c r="A303" s="480">
        <v>45681</v>
      </c>
      <c r="B303" s="475" t="s">
        <v>725</v>
      </c>
      <c r="C303" s="475" t="s">
        <v>147</v>
      </c>
      <c r="D303" s="475"/>
      <c r="E303" s="478"/>
      <c r="F303" s="478"/>
      <c r="G303" s="478"/>
      <c r="H303" s="479">
        <v>16160</v>
      </c>
    </row>
    <row r="304" spans="1:9" x14ac:dyDescent="0.25">
      <c r="A304" s="480">
        <v>45681</v>
      </c>
      <c r="B304" s="475" t="s">
        <v>719</v>
      </c>
      <c r="C304" s="475" t="s">
        <v>48</v>
      </c>
      <c r="D304" s="481"/>
      <c r="E304" s="478"/>
      <c r="F304" s="478"/>
      <c r="G304" s="478"/>
      <c r="H304" s="479">
        <v>16160</v>
      </c>
    </row>
    <row r="305" spans="1:9" x14ac:dyDescent="0.25">
      <c r="A305" s="480">
        <v>45681</v>
      </c>
      <c r="B305" s="475" t="s">
        <v>720</v>
      </c>
      <c r="C305" s="475" t="s">
        <v>48</v>
      </c>
      <c r="D305" s="481"/>
      <c r="E305" s="478"/>
      <c r="F305" s="478"/>
      <c r="G305" s="478"/>
      <c r="H305" s="479">
        <v>16160</v>
      </c>
    </row>
    <row r="306" spans="1:9" x14ac:dyDescent="0.25">
      <c r="A306" s="482">
        <v>46043</v>
      </c>
      <c r="B306" s="483" t="s">
        <v>705</v>
      </c>
      <c r="C306" s="483" t="s">
        <v>364</v>
      </c>
      <c r="D306" s="481"/>
      <c r="E306" s="478"/>
      <c r="F306" s="478"/>
      <c r="G306" s="478"/>
      <c r="H306" s="479">
        <v>15150</v>
      </c>
    </row>
    <row r="307" spans="1:9" x14ac:dyDescent="0.25">
      <c r="A307" s="482">
        <v>46044</v>
      </c>
      <c r="B307" s="483" t="s">
        <v>707</v>
      </c>
      <c r="C307" s="483" t="s">
        <v>70</v>
      </c>
      <c r="D307" s="481"/>
      <c r="E307" s="478"/>
      <c r="F307" s="478"/>
      <c r="G307" s="478"/>
      <c r="H307" s="479">
        <v>20200</v>
      </c>
    </row>
    <row r="308" spans="1:9" x14ac:dyDescent="0.25">
      <c r="A308" s="482">
        <v>46044</v>
      </c>
      <c r="B308" s="475" t="s">
        <v>708</v>
      </c>
      <c r="C308" s="475" t="s">
        <v>70</v>
      </c>
      <c r="D308" s="481"/>
      <c r="E308" s="478"/>
      <c r="F308" s="478"/>
      <c r="G308" s="478"/>
      <c r="H308" s="479">
        <v>20199</v>
      </c>
    </row>
    <row r="309" spans="1:9" x14ac:dyDescent="0.25">
      <c r="A309" s="482">
        <v>46044</v>
      </c>
      <c r="B309" s="485" t="s">
        <v>711</v>
      </c>
      <c r="C309" s="485" t="s">
        <v>86</v>
      </c>
      <c r="D309" s="486"/>
      <c r="E309" s="478"/>
      <c r="F309" s="478"/>
      <c r="G309" s="478"/>
      <c r="H309" s="479">
        <v>75752</v>
      </c>
    </row>
    <row r="310" spans="1:9" x14ac:dyDescent="0.25">
      <c r="A310" s="480">
        <v>45681</v>
      </c>
      <c r="B310" s="475" t="s">
        <v>716</v>
      </c>
      <c r="C310" s="475" t="s">
        <v>717</v>
      </c>
      <c r="D310" s="481"/>
      <c r="E310" s="478"/>
      <c r="F310" s="478"/>
      <c r="G310" s="478"/>
      <c r="H310" s="479">
        <v>24240</v>
      </c>
    </row>
    <row r="311" spans="1:9" x14ac:dyDescent="0.25">
      <c r="A311" s="474">
        <v>46037</v>
      </c>
      <c r="B311" s="475" t="s">
        <v>666</v>
      </c>
      <c r="C311" s="475" t="s">
        <v>46</v>
      </c>
      <c r="D311" s="476"/>
      <c r="E311" s="478"/>
      <c r="F311" s="478"/>
      <c r="G311" s="478"/>
      <c r="H311" s="479">
        <v>120796</v>
      </c>
    </row>
    <row r="312" spans="1:9" x14ac:dyDescent="0.25">
      <c r="A312" s="480">
        <v>46042</v>
      </c>
      <c r="B312" s="475" t="s">
        <v>690</v>
      </c>
      <c r="C312" s="475" t="s">
        <v>48</v>
      </c>
      <c r="D312" s="476"/>
      <c r="E312" s="487"/>
      <c r="F312" s="478"/>
      <c r="G312" s="478"/>
      <c r="H312" s="479">
        <v>24240</v>
      </c>
      <c r="I312" s="5">
        <f>SUM(H302:H312)</f>
        <v>438745</v>
      </c>
    </row>
    <row r="313" spans="1:9" x14ac:dyDescent="0.25">
      <c r="A313" s="488">
        <v>46049</v>
      </c>
      <c r="B313" s="489" t="s">
        <v>740</v>
      </c>
      <c r="C313" s="489" t="s">
        <v>86</v>
      </c>
      <c r="D313" s="490"/>
      <c r="E313" s="39"/>
      <c r="F313" s="39"/>
      <c r="G313" s="39"/>
      <c r="H313" s="47">
        <v>149884</v>
      </c>
      <c r="I313" s="5">
        <f>H313</f>
        <v>149884</v>
      </c>
    </row>
    <row r="314" spans="1:9" ht="30" x14ac:dyDescent="0.25">
      <c r="A314" s="505">
        <v>46050</v>
      </c>
      <c r="B314" s="261" t="s">
        <v>747</v>
      </c>
      <c r="C314" s="261" t="s">
        <v>714</v>
      </c>
      <c r="D314" s="506"/>
      <c r="E314" s="264"/>
      <c r="F314" s="264"/>
      <c r="G314" s="264"/>
      <c r="H314" s="507">
        <v>72720</v>
      </c>
    </row>
    <row r="315" spans="1:9" x14ac:dyDescent="0.25">
      <c r="A315" s="505">
        <v>46050</v>
      </c>
      <c r="B315" s="269" t="s">
        <v>748</v>
      </c>
      <c r="C315" s="269" t="s">
        <v>46</v>
      </c>
      <c r="D315" s="262"/>
      <c r="E315" s="264"/>
      <c r="F315" s="264"/>
      <c r="G315" s="264"/>
      <c r="H315" s="507">
        <v>14140</v>
      </c>
    </row>
    <row r="316" spans="1:9" x14ac:dyDescent="0.25">
      <c r="A316" s="505">
        <v>46050</v>
      </c>
      <c r="B316" s="261" t="s">
        <v>743</v>
      </c>
      <c r="C316" s="261" t="s">
        <v>63</v>
      </c>
      <c r="D316" s="506"/>
      <c r="E316" s="264"/>
      <c r="F316" s="264"/>
      <c r="G316" s="264"/>
      <c r="H316" s="507">
        <v>14140</v>
      </c>
    </row>
    <row r="317" spans="1:9" x14ac:dyDescent="0.25">
      <c r="A317" s="505">
        <v>46049</v>
      </c>
      <c r="B317" s="508" t="s">
        <v>739</v>
      </c>
      <c r="C317" s="508" t="s">
        <v>479</v>
      </c>
      <c r="D317" s="509"/>
      <c r="E317" s="264"/>
      <c r="F317" s="264"/>
      <c r="G317" s="264"/>
      <c r="H317" s="507">
        <v>279216</v>
      </c>
    </row>
    <row r="318" spans="1:9" ht="23.25" customHeight="1" x14ac:dyDescent="0.25">
      <c r="A318" s="505">
        <v>46048</v>
      </c>
      <c r="B318" s="269" t="s">
        <v>730</v>
      </c>
      <c r="C318" s="269" t="s">
        <v>731</v>
      </c>
      <c r="D318" s="262"/>
      <c r="E318" s="264"/>
      <c r="F318" s="264"/>
      <c r="G318" s="264"/>
      <c r="H318" s="507">
        <v>18180</v>
      </c>
    </row>
    <row r="319" spans="1:9" ht="18" customHeight="1" x14ac:dyDescent="0.25">
      <c r="A319" s="505">
        <v>46048</v>
      </c>
      <c r="B319" s="269" t="s">
        <v>732</v>
      </c>
      <c r="C319" s="269" t="s">
        <v>147</v>
      </c>
      <c r="D319" s="262"/>
      <c r="E319" s="264"/>
      <c r="F319" s="264"/>
      <c r="G319" s="264"/>
      <c r="H319" s="507">
        <v>16160</v>
      </c>
    </row>
    <row r="320" spans="1:9" ht="16.5" customHeight="1" x14ac:dyDescent="0.25">
      <c r="A320" s="505">
        <v>46048</v>
      </c>
      <c r="B320" s="269" t="s">
        <v>733</v>
      </c>
      <c r="C320" s="269" t="s">
        <v>147</v>
      </c>
      <c r="D320" s="262"/>
      <c r="E320" s="264"/>
      <c r="F320" s="264"/>
      <c r="G320" s="264"/>
      <c r="H320" s="507">
        <v>20200</v>
      </c>
    </row>
    <row r="321" spans="1:9" x14ac:dyDescent="0.25">
      <c r="A321" s="505">
        <v>46048</v>
      </c>
      <c r="B321" s="269" t="s">
        <v>734</v>
      </c>
      <c r="C321" s="269" t="s">
        <v>181</v>
      </c>
      <c r="D321" s="262"/>
      <c r="E321" s="264"/>
      <c r="F321" s="264"/>
      <c r="G321" s="264"/>
      <c r="H321" s="507">
        <v>63024</v>
      </c>
    </row>
    <row r="322" spans="1:9" x14ac:dyDescent="0.25">
      <c r="A322" s="505">
        <v>46048</v>
      </c>
      <c r="B322" s="269" t="s">
        <v>735</v>
      </c>
      <c r="C322" s="269" t="s">
        <v>163</v>
      </c>
      <c r="D322" s="269"/>
      <c r="E322" s="264"/>
      <c r="F322" s="264"/>
      <c r="G322" s="264"/>
      <c r="H322" s="507">
        <v>60600</v>
      </c>
      <c r="I322" s="14">
        <f>SUM(H314:H322)</f>
        <v>558380</v>
      </c>
    </row>
    <row r="323" spans="1:9" x14ac:dyDescent="0.25">
      <c r="A323" s="511">
        <v>46051</v>
      </c>
      <c r="B323" s="316" t="s">
        <v>751</v>
      </c>
      <c r="C323" s="316" t="s">
        <v>160</v>
      </c>
      <c r="D323" s="317"/>
      <c r="E323" s="315"/>
      <c r="F323" s="315"/>
      <c r="G323" s="315"/>
      <c r="H323" s="18">
        <v>14139</v>
      </c>
    </row>
    <row r="324" spans="1:9" x14ac:dyDescent="0.25">
      <c r="A324" s="511">
        <v>46051</v>
      </c>
      <c r="B324" s="316" t="s">
        <v>752</v>
      </c>
      <c r="C324" s="316" t="s">
        <v>753</v>
      </c>
      <c r="D324" s="317"/>
      <c r="E324" s="315"/>
      <c r="F324" s="315"/>
      <c r="G324" s="315"/>
      <c r="H324" s="18">
        <v>144531</v>
      </c>
    </row>
    <row r="325" spans="1:9" x14ac:dyDescent="0.25">
      <c r="A325" s="511">
        <v>45687</v>
      </c>
      <c r="B325" s="516" t="s">
        <v>762</v>
      </c>
      <c r="C325" s="516" t="s">
        <v>644</v>
      </c>
      <c r="D325" s="517"/>
      <c r="E325" s="315"/>
      <c r="F325" s="315"/>
      <c r="G325" s="315"/>
      <c r="H325" s="18">
        <v>14140</v>
      </c>
    </row>
    <row r="326" spans="1:9" x14ac:dyDescent="0.25">
      <c r="A326" s="511">
        <v>45687</v>
      </c>
      <c r="B326" s="516" t="s">
        <v>763</v>
      </c>
      <c r="C326" s="516" t="s">
        <v>538</v>
      </c>
      <c r="D326" s="517"/>
      <c r="E326" s="315"/>
      <c r="F326" s="315"/>
      <c r="G326" s="315"/>
      <c r="H326" s="18">
        <v>67872</v>
      </c>
    </row>
    <row r="327" spans="1:9" x14ac:dyDescent="0.25">
      <c r="A327" s="511">
        <v>46050</v>
      </c>
      <c r="B327" s="513" t="s">
        <v>741</v>
      </c>
      <c r="C327" s="513" t="s">
        <v>742</v>
      </c>
      <c r="D327" s="514"/>
      <c r="E327" s="315"/>
      <c r="F327" s="315"/>
      <c r="G327" s="315"/>
      <c r="H327" s="18">
        <v>16161</v>
      </c>
    </row>
    <row r="328" spans="1:9" x14ac:dyDescent="0.25">
      <c r="A328" s="511">
        <v>46048</v>
      </c>
      <c r="B328" s="316" t="s">
        <v>728</v>
      </c>
      <c r="C328" s="316" t="s">
        <v>729</v>
      </c>
      <c r="D328" s="317"/>
      <c r="E328" s="315"/>
      <c r="F328" s="315"/>
      <c r="G328" s="315"/>
      <c r="H328" s="18">
        <v>232300</v>
      </c>
    </row>
    <row r="329" spans="1:9" x14ac:dyDescent="0.25">
      <c r="A329" s="510">
        <v>45681</v>
      </c>
      <c r="B329" s="316" t="s">
        <v>721</v>
      </c>
      <c r="C329" s="316" t="s">
        <v>48</v>
      </c>
      <c r="D329" s="317"/>
      <c r="E329" s="315"/>
      <c r="F329" s="315"/>
      <c r="G329" s="315"/>
      <c r="H329" s="18">
        <v>20200</v>
      </c>
      <c r="I329" s="14">
        <f>SUM(H323:H329)</f>
        <v>509343</v>
      </c>
    </row>
    <row r="330" spans="1:9" x14ac:dyDescent="0.25">
      <c r="A330" s="518">
        <v>46050</v>
      </c>
      <c r="B330" s="453" t="s">
        <v>744</v>
      </c>
      <c r="C330" s="453" t="s">
        <v>147</v>
      </c>
      <c r="D330" s="519"/>
      <c r="E330" s="450"/>
      <c r="F330" s="450"/>
      <c r="G330" s="450"/>
      <c r="H330" s="18">
        <v>54904</v>
      </c>
    </row>
    <row r="331" spans="1:9" x14ac:dyDescent="0.25">
      <c r="A331" s="518">
        <v>46050</v>
      </c>
      <c r="B331" s="455" t="s">
        <v>745</v>
      </c>
      <c r="C331" s="455" t="s">
        <v>746</v>
      </c>
      <c r="D331" s="519"/>
      <c r="E331" s="450"/>
      <c r="F331" s="450"/>
      <c r="G331" s="450"/>
      <c r="H331" s="18">
        <v>25250</v>
      </c>
    </row>
    <row r="332" spans="1:9" x14ac:dyDescent="0.25">
      <c r="A332" s="456">
        <v>45681</v>
      </c>
      <c r="B332" s="451" t="s">
        <v>722</v>
      </c>
      <c r="C332" s="451" t="s">
        <v>723</v>
      </c>
      <c r="D332" s="452"/>
      <c r="E332" s="450"/>
      <c r="F332" s="450"/>
      <c r="G332" s="450"/>
      <c r="H332" s="18">
        <v>78390</v>
      </c>
    </row>
    <row r="333" spans="1:9" x14ac:dyDescent="0.25">
      <c r="A333" s="458">
        <v>46037</v>
      </c>
      <c r="B333" s="451" t="s">
        <v>665</v>
      </c>
      <c r="C333" s="451" t="s">
        <v>135</v>
      </c>
      <c r="D333" s="457"/>
      <c r="E333" s="450"/>
      <c r="F333" s="450"/>
      <c r="G333" s="450"/>
      <c r="H333" s="18">
        <v>53328</v>
      </c>
      <c r="I333" s="5">
        <f>SUM(H330:H333)</f>
        <v>211872</v>
      </c>
    </row>
    <row r="334" spans="1:9" x14ac:dyDescent="0.25">
      <c r="A334" s="520">
        <v>46051</v>
      </c>
      <c r="B334" s="226" t="s">
        <v>750</v>
      </c>
      <c r="C334" s="226" t="s">
        <v>167</v>
      </c>
      <c r="D334" s="299"/>
      <c r="E334" s="71"/>
      <c r="F334" s="71"/>
      <c r="G334" s="71"/>
      <c r="H334" s="18">
        <v>577720</v>
      </c>
    </row>
    <row r="335" spans="1:9" x14ac:dyDescent="0.25">
      <c r="A335" s="520">
        <v>45687</v>
      </c>
      <c r="B335" s="223" t="s">
        <v>764</v>
      </c>
      <c r="C335" s="223" t="s">
        <v>765</v>
      </c>
      <c r="D335" s="523"/>
      <c r="E335" s="71"/>
      <c r="F335" s="71"/>
      <c r="G335" s="71"/>
      <c r="H335" s="18">
        <v>83325</v>
      </c>
    </row>
    <row r="336" spans="1:9" x14ac:dyDescent="0.25">
      <c r="A336" s="520">
        <v>46049</v>
      </c>
      <c r="B336" s="521" t="s">
        <v>737</v>
      </c>
      <c r="C336" s="521" t="s">
        <v>738</v>
      </c>
      <c r="D336" s="522"/>
      <c r="E336" s="71"/>
      <c r="F336" s="71"/>
      <c r="G336" s="71"/>
      <c r="H336" s="18">
        <v>52520</v>
      </c>
    </row>
    <row r="337" spans="1:9" x14ac:dyDescent="0.25">
      <c r="A337" s="440">
        <v>45681</v>
      </c>
      <c r="B337" s="226" t="s">
        <v>718</v>
      </c>
      <c r="C337" s="226" t="s">
        <v>48</v>
      </c>
      <c r="D337" s="299"/>
      <c r="E337" s="71"/>
      <c r="F337" s="71"/>
      <c r="G337" s="71"/>
      <c r="H337" s="18">
        <v>20200</v>
      </c>
    </row>
    <row r="338" spans="1:9" x14ac:dyDescent="0.25">
      <c r="A338" s="158">
        <v>45663</v>
      </c>
      <c r="B338" s="362" t="s">
        <v>580</v>
      </c>
      <c r="C338" s="302" t="s">
        <v>581</v>
      </c>
      <c r="D338" s="303" t="s">
        <v>589</v>
      </c>
      <c r="E338" s="71"/>
      <c r="F338" s="71"/>
      <c r="G338" s="71"/>
      <c r="H338" s="18">
        <v>530250</v>
      </c>
      <c r="I338" s="5">
        <f>SUM(H334:H338)</f>
        <v>1264015</v>
      </c>
    </row>
    <row r="339" spans="1:9" x14ac:dyDescent="0.25">
      <c r="A339" s="524">
        <v>45688</v>
      </c>
      <c r="B339" s="525" t="s">
        <v>767</v>
      </c>
      <c r="C339" s="525" t="s">
        <v>738</v>
      </c>
      <c r="D339" s="526"/>
      <c r="E339" s="527"/>
      <c r="F339" s="527"/>
      <c r="G339" s="527"/>
      <c r="H339" s="528">
        <v>17170</v>
      </c>
    </row>
    <row r="340" spans="1:9" x14ac:dyDescent="0.25">
      <c r="A340" s="524">
        <v>45688</v>
      </c>
      <c r="B340" s="525" t="s">
        <v>768</v>
      </c>
      <c r="C340" s="525" t="s">
        <v>517</v>
      </c>
      <c r="D340" s="526"/>
      <c r="E340" s="527"/>
      <c r="F340" s="527"/>
      <c r="G340" s="527"/>
      <c r="H340" s="18">
        <v>42420</v>
      </c>
      <c r="I340" s="5">
        <f>SUM(H339:H340)</f>
        <v>59590</v>
      </c>
    </row>
    <row r="341" spans="1:9" x14ac:dyDescent="0.25">
      <c r="A341" s="530">
        <v>45688</v>
      </c>
      <c r="B341" s="531" t="s">
        <v>769</v>
      </c>
      <c r="C341" s="531" t="s">
        <v>310</v>
      </c>
      <c r="D341" s="532"/>
      <c r="E341" s="38"/>
      <c r="F341" s="38"/>
      <c r="G341" s="38"/>
      <c r="H341" s="18">
        <v>40401</v>
      </c>
    </row>
    <row r="342" spans="1:9" x14ac:dyDescent="0.25">
      <c r="A342" s="530">
        <v>46056</v>
      </c>
      <c r="B342" s="535" t="s">
        <v>774</v>
      </c>
      <c r="C342" s="535" t="s">
        <v>517</v>
      </c>
      <c r="D342" s="536"/>
      <c r="E342" s="38"/>
      <c r="F342" s="38"/>
      <c r="G342" s="38"/>
      <c r="H342" s="18">
        <v>14140</v>
      </c>
    </row>
    <row r="343" spans="1:9" x14ac:dyDescent="0.25">
      <c r="A343" s="530">
        <v>46056</v>
      </c>
      <c r="B343" s="531" t="s">
        <v>778</v>
      </c>
      <c r="C343" s="531" t="s">
        <v>135</v>
      </c>
      <c r="D343" s="531"/>
      <c r="E343" s="38"/>
      <c r="F343" s="38"/>
      <c r="G343" s="38"/>
      <c r="H343" s="18">
        <v>24240</v>
      </c>
      <c r="I343" s="5">
        <f>SUM(H341:H343)</f>
        <v>78781</v>
      </c>
    </row>
    <row r="344" spans="1:9" x14ac:dyDescent="0.25">
      <c r="A344" s="547">
        <v>46058</v>
      </c>
      <c r="B344" s="550" t="s">
        <v>783</v>
      </c>
      <c r="C344" s="550" t="s">
        <v>163</v>
      </c>
      <c r="D344" s="549"/>
      <c r="E344" s="546"/>
      <c r="F344" s="546"/>
      <c r="G344" s="546"/>
      <c r="H344" s="18">
        <v>152440</v>
      </c>
    </row>
    <row r="345" spans="1:9" ht="30" x14ac:dyDescent="0.25">
      <c r="A345" s="547">
        <v>46058</v>
      </c>
      <c r="B345" s="548" t="s">
        <v>784</v>
      </c>
      <c r="C345" s="548" t="s">
        <v>714</v>
      </c>
      <c r="D345" s="549"/>
      <c r="E345" s="546"/>
      <c r="F345" s="546"/>
      <c r="G345" s="546"/>
      <c r="H345" s="18">
        <v>24240</v>
      </c>
    </row>
    <row r="346" spans="1:9" x14ac:dyDescent="0.25">
      <c r="A346" s="543">
        <v>46058</v>
      </c>
      <c r="B346" s="544" t="s">
        <v>786</v>
      </c>
      <c r="C346" s="544" t="s">
        <v>787</v>
      </c>
      <c r="D346" s="545"/>
      <c r="E346" s="546"/>
      <c r="F346" s="546"/>
      <c r="G346" s="546"/>
      <c r="H346" s="18">
        <v>82416</v>
      </c>
      <c r="I346" s="5">
        <f>SUM(H344:H346)</f>
        <v>259096</v>
      </c>
    </row>
    <row r="347" spans="1:9" x14ac:dyDescent="0.25">
      <c r="A347" s="551">
        <v>46058</v>
      </c>
      <c r="B347" s="75" t="s">
        <v>785</v>
      </c>
      <c r="C347" s="75" t="s">
        <v>135</v>
      </c>
      <c r="D347" s="552"/>
      <c r="E347" s="71"/>
      <c r="F347" s="71"/>
      <c r="G347" s="71"/>
      <c r="H347" s="18">
        <v>20000</v>
      </c>
    </row>
    <row r="348" spans="1:9" x14ac:dyDescent="0.25">
      <c r="A348" s="158">
        <v>46056</v>
      </c>
      <c r="B348" s="226" t="s">
        <v>777</v>
      </c>
      <c r="C348" s="226" t="s">
        <v>86</v>
      </c>
      <c r="D348" s="299"/>
      <c r="E348" s="71"/>
      <c r="F348" s="71"/>
      <c r="G348" s="71"/>
      <c r="H348" s="18">
        <v>189375</v>
      </c>
    </row>
    <row r="349" spans="1:9" x14ac:dyDescent="0.25">
      <c r="A349" s="158">
        <v>46056</v>
      </c>
      <c r="B349" s="226" t="s">
        <v>772</v>
      </c>
      <c r="C349" s="226" t="s">
        <v>48</v>
      </c>
      <c r="D349" s="299"/>
      <c r="E349" s="71"/>
      <c r="F349" s="71"/>
      <c r="G349" s="71"/>
      <c r="H349" s="18">
        <v>16160</v>
      </c>
    </row>
    <row r="350" spans="1:9" x14ac:dyDescent="0.25">
      <c r="A350" s="158">
        <v>46056</v>
      </c>
      <c r="B350" s="226" t="s">
        <v>773</v>
      </c>
      <c r="C350" s="226" t="s">
        <v>48</v>
      </c>
      <c r="D350" s="299"/>
      <c r="E350" s="71"/>
      <c r="F350" s="71"/>
      <c r="G350" s="71"/>
      <c r="H350" s="18">
        <v>27270</v>
      </c>
    </row>
    <row r="351" spans="1:9" x14ac:dyDescent="0.25">
      <c r="A351" s="158">
        <v>45688</v>
      </c>
      <c r="B351" s="226" t="s">
        <v>766</v>
      </c>
      <c r="C351" s="226" t="s">
        <v>163</v>
      </c>
      <c r="D351" s="299"/>
      <c r="E351" s="71"/>
      <c r="F351" s="71"/>
      <c r="G351" s="71"/>
      <c r="H351" s="18">
        <v>51510</v>
      </c>
      <c r="I351" s="5">
        <f>SUM(H347:H351)</f>
        <v>304315</v>
      </c>
    </row>
    <row r="352" spans="1:9" x14ac:dyDescent="0.25">
      <c r="A352" s="557">
        <v>46059</v>
      </c>
      <c r="B352" s="561" t="s">
        <v>790</v>
      </c>
      <c r="C352" s="561" t="s">
        <v>63</v>
      </c>
      <c r="D352" s="564"/>
      <c r="E352" s="285"/>
      <c r="F352" s="285"/>
      <c r="G352" s="285"/>
      <c r="H352" s="18">
        <v>28278</v>
      </c>
    </row>
    <row r="353" spans="1:9" x14ac:dyDescent="0.25">
      <c r="A353" s="557">
        <v>46059</v>
      </c>
      <c r="B353" s="561" t="s">
        <v>791</v>
      </c>
      <c r="C353" s="561" t="s">
        <v>135</v>
      </c>
      <c r="D353" s="562"/>
      <c r="E353" s="285"/>
      <c r="F353" s="285"/>
      <c r="G353" s="285"/>
      <c r="H353" s="18">
        <v>24241</v>
      </c>
    </row>
    <row r="354" spans="1:9" x14ac:dyDescent="0.25">
      <c r="A354" s="557">
        <v>46059</v>
      </c>
      <c r="B354" s="558" t="s">
        <v>793</v>
      </c>
      <c r="C354" s="558" t="s">
        <v>794</v>
      </c>
      <c r="D354" s="560"/>
      <c r="E354" s="285"/>
      <c r="F354" s="285"/>
      <c r="G354" s="285"/>
      <c r="H354" s="18">
        <v>15150</v>
      </c>
    </row>
    <row r="355" spans="1:9" x14ac:dyDescent="0.25">
      <c r="A355" s="565">
        <v>46060</v>
      </c>
      <c r="B355" s="286" t="s">
        <v>800</v>
      </c>
      <c r="C355" s="286" t="s">
        <v>517</v>
      </c>
      <c r="D355" s="556"/>
      <c r="E355" s="285"/>
      <c r="F355" s="285"/>
      <c r="G355" s="285"/>
      <c r="H355" s="18">
        <v>84840</v>
      </c>
    </row>
    <row r="356" spans="1:9" x14ac:dyDescent="0.25">
      <c r="A356" s="557">
        <v>46058</v>
      </c>
      <c r="B356" s="558" t="s">
        <v>780</v>
      </c>
      <c r="C356" s="558" t="s">
        <v>147</v>
      </c>
      <c r="D356" s="559"/>
      <c r="E356" s="285"/>
      <c r="F356" s="285"/>
      <c r="G356" s="285"/>
      <c r="H356" s="18">
        <v>16160</v>
      </c>
    </row>
    <row r="357" spans="1:9" x14ac:dyDescent="0.25">
      <c r="A357" s="553">
        <v>46055</v>
      </c>
      <c r="B357" s="554" t="s">
        <v>770</v>
      </c>
      <c r="C357" s="554" t="s">
        <v>46</v>
      </c>
      <c r="D357" s="555"/>
      <c r="E357" s="285"/>
      <c r="F357" s="285"/>
      <c r="G357" s="285"/>
      <c r="H357" s="18">
        <v>82416</v>
      </c>
    </row>
    <row r="358" spans="1:9" x14ac:dyDescent="0.25">
      <c r="A358" s="553">
        <v>46056</v>
      </c>
      <c r="B358" s="286" t="s">
        <v>775</v>
      </c>
      <c r="C358" s="286" t="s">
        <v>776</v>
      </c>
      <c r="D358" s="556"/>
      <c r="E358" s="285"/>
      <c r="F358" s="285"/>
      <c r="G358" s="285"/>
      <c r="H358" s="18">
        <v>37875</v>
      </c>
      <c r="I358" s="5">
        <f>SUM(H352:H358)</f>
        <v>288960</v>
      </c>
    </row>
    <row r="359" spans="1:9" x14ac:dyDescent="0.25">
      <c r="A359" s="572">
        <v>46060</v>
      </c>
      <c r="B359" s="215" t="s">
        <v>803</v>
      </c>
      <c r="C359" s="215" t="s">
        <v>804</v>
      </c>
      <c r="D359" s="216"/>
      <c r="E359" s="207"/>
      <c r="F359" s="207"/>
      <c r="G359" s="207"/>
      <c r="H359" s="18">
        <v>36360</v>
      </c>
    </row>
    <row r="360" spans="1:9" x14ac:dyDescent="0.25">
      <c r="A360" s="572">
        <v>46060</v>
      </c>
      <c r="B360" s="568" t="s">
        <v>805</v>
      </c>
      <c r="C360" s="568" t="s">
        <v>60</v>
      </c>
      <c r="D360" s="573"/>
      <c r="E360" s="207"/>
      <c r="F360" s="207"/>
      <c r="G360" s="207"/>
      <c r="H360" s="18">
        <v>14139</v>
      </c>
    </row>
    <row r="361" spans="1:9" x14ac:dyDescent="0.25">
      <c r="A361" s="569">
        <v>46059</v>
      </c>
      <c r="B361" s="209" t="s">
        <v>788</v>
      </c>
      <c r="C361" s="209" t="s">
        <v>163</v>
      </c>
      <c r="D361" s="571"/>
      <c r="E361" s="207"/>
      <c r="F361" s="207"/>
      <c r="G361" s="207"/>
      <c r="H361" s="18">
        <v>36360</v>
      </c>
    </row>
    <row r="362" spans="1:9" x14ac:dyDescent="0.25">
      <c r="A362" s="569">
        <v>46058</v>
      </c>
      <c r="B362" s="211" t="s">
        <v>782</v>
      </c>
      <c r="C362" s="211" t="s">
        <v>163</v>
      </c>
      <c r="D362" s="570"/>
      <c r="E362" s="207"/>
      <c r="F362" s="207"/>
      <c r="G362" s="207"/>
      <c r="H362" s="18">
        <v>68680</v>
      </c>
    </row>
    <row r="363" spans="1:9" x14ac:dyDescent="0.25">
      <c r="A363" s="567">
        <v>46057</v>
      </c>
      <c r="B363" s="568" t="s">
        <v>779</v>
      </c>
      <c r="C363" s="568" t="s">
        <v>717</v>
      </c>
      <c r="D363" s="216"/>
      <c r="E363" s="207"/>
      <c r="F363" s="207"/>
      <c r="G363" s="207"/>
      <c r="H363" s="18">
        <v>84840</v>
      </c>
    </row>
    <row r="364" spans="1:9" x14ac:dyDescent="0.25">
      <c r="A364" s="566">
        <v>46056</v>
      </c>
      <c r="B364" s="215" t="s">
        <v>771</v>
      </c>
      <c r="C364" s="215" t="s">
        <v>48</v>
      </c>
      <c r="D364" s="216"/>
      <c r="E364" s="207"/>
      <c r="F364" s="207"/>
      <c r="G364" s="207"/>
      <c r="H364" s="18">
        <v>28280</v>
      </c>
      <c r="I364" s="5">
        <f>SUM(H359:H364)</f>
        <v>268659</v>
      </c>
    </row>
    <row r="365" spans="1:9" x14ac:dyDescent="0.25">
      <c r="A365" s="574">
        <v>46063</v>
      </c>
      <c r="B365" s="577" t="s">
        <v>854</v>
      </c>
      <c r="C365" s="577" t="s">
        <v>855</v>
      </c>
      <c r="D365" s="578"/>
      <c r="E365" s="578"/>
      <c r="F365" s="578"/>
      <c r="G365" s="578"/>
      <c r="H365" s="18">
        <v>77568</v>
      </c>
    </row>
    <row r="366" spans="1:9" x14ac:dyDescent="0.25">
      <c r="A366" s="574">
        <v>46062</v>
      </c>
      <c r="B366" s="575" t="s">
        <v>810</v>
      </c>
      <c r="C366" s="575" t="s">
        <v>99</v>
      </c>
      <c r="D366" s="576"/>
      <c r="E366" s="527"/>
      <c r="F366" s="527"/>
      <c r="G366" s="527"/>
      <c r="H366" s="18">
        <v>14140</v>
      </c>
    </row>
    <row r="367" spans="1:9" x14ac:dyDescent="0.25">
      <c r="A367" s="574">
        <v>46060</v>
      </c>
      <c r="B367" s="525" t="s">
        <v>797</v>
      </c>
      <c r="C367" s="525" t="s">
        <v>22</v>
      </c>
      <c r="D367" s="526"/>
      <c r="E367" s="527"/>
      <c r="F367" s="527"/>
      <c r="G367" s="527"/>
      <c r="H367" s="18">
        <v>15150</v>
      </c>
      <c r="I367" s="5">
        <f>SUM(H365:H367)</f>
        <v>106858</v>
      </c>
    </row>
    <row r="368" spans="1:9" x14ac:dyDescent="0.25">
      <c r="A368" s="584">
        <v>46062</v>
      </c>
      <c r="B368" s="580" t="s">
        <v>806</v>
      </c>
      <c r="C368" s="580" t="s">
        <v>807</v>
      </c>
      <c r="D368" s="585"/>
      <c r="E368" s="282"/>
      <c r="F368" s="282"/>
      <c r="G368" s="282"/>
      <c r="H368" s="18">
        <v>65044</v>
      </c>
    </row>
    <row r="369" spans="1:9" x14ac:dyDescent="0.25">
      <c r="A369" s="584">
        <v>46063</v>
      </c>
      <c r="B369" s="290" t="s">
        <v>816</v>
      </c>
      <c r="C369" s="290" t="s">
        <v>738</v>
      </c>
      <c r="D369" s="448"/>
      <c r="E369" s="282"/>
      <c r="F369" s="282"/>
      <c r="G369" s="282"/>
      <c r="H369" s="18">
        <v>17170</v>
      </c>
    </row>
    <row r="370" spans="1:9" x14ac:dyDescent="0.25">
      <c r="A370" s="584">
        <v>46064</v>
      </c>
      <c r="B370" s="290" t="s">
        <v>819</v>
      </c>
      <c r="C370" s="290" t="s">
        <v>820</v>
      </c>
      <c r="D370" s="448"/>
      <c r="E370" s="282"/>
      <c r="F370" s="282"/>
      <c r="G370" s="282"/>
      <c r="H370" s="18">
        <v>57570</v>
      </c>
    </row>
    <row r="371" spans="1:9" x14ac:dyDescent="0.25">
      <c r="A371" s="582">
        <v>46059</v>
      </c>
      <c r="B371" s="580" t="s">
        <v>789</v>
      </c>
      <c r="C371" s="580" t="s">
        <v>60</v>
      </c>
      <c r="D371" s="583"/>
      <c r="E371" s="282"/>
      <c r="F371" s="282"/>
      <c r="G371" s="282"/>
      <c r="H371" s="18">
        <v>47268</v>
      </c>
    </row>
    <row r="372" spans="1:9" x14ac:dyDescent="0.25">
      <c r="A372" s="579">
        <v>46043</v>
      </c>
      <c r="B372" s="580" t="s">
        <v>700</v>
      </c>
      <c r="C372" s="580" t="s">
        <v>22</v>
      </c>
      <c r="D372" s="580"/>
      <c r="E372" s="282"/>
      <c r="F372" s="282"/>
      <c r="G372" s="282"/>
      <c r="H372" s="18">
        <v>74740</v>
      </c>
      <c r="I372" s="5">
        <f>SUM(H368:H372)</f>
        <v>261792</v>
      </c>
    </row>
    <row r="373" spans="1:9" ht="15.75" thickBot="1" x14ac:dyDescent="0.3">
      <c r="A373" s="565">
        <v>46065</v>
      </c>
      <c r="B373" s="589" t="s">
        <v>853</v>
      </c>
      <c r="C373" s="589" t="s">
        <v>852</v>
      </c>
      <c r="D373" s="587"/>
      <c r="E373" s="285"/>
      <c r="F373" s="285"/>
      <c r="G373" s="285"/>
      <c r="H373" s="18">
        <v>50904</v>
      </c>
    </row>
    <row r="374" spans="1:9" x14ac:dyDescent="0.25">
      <c r="A374" s="565">
        <v>46063</v>
      </c>
      <c r="B374" s="286" t="s">
        <v>813</v>
      </c>
      <c r="C374" s="286" t="s">
        <v>63</v>
      </c>
      <c r="D374" s="556"/>
      <c r="E374" s="285"/>
      <c r="F374" s="285"/>
      <c r="G374" s="285"/>
      <c r="H374" s="18">
        <v>28280</v>
      </c>
    </row>
    <row r="375" spans="1:9" x14ac:dyDescent="0.25">
      <c r="A375" s="565">
        <v>46062</v>
      </c>
      <c r="B375" s="558" t="s">
        <v>808</v>
      </c>
      <c r="C375" s="558" t="s">
        <v>809</v>
      </c>
      <c r="D375" s="588"/>
      <c r="E375" s="285"/>
      <c r="F375" s="285"/>
      <c r="G375" s="285"/>
      <c r="H375" s="18">
        <v>32322</v>
      </c>
    </row>
    <row r="376" spans="1:9" x14ac:dyDescent="0.25">
      <c r="A376" s="565">
        <v>46060</v>
      </c>
      <c r="B376" s="286" t="s">
        <v>801</v>
      </c>
      <c r="C376" s="286" t="s">
        <v>46</v>
      </c>
      <c r="D376" s="556"/>
      <c r="E376" s="285"/>
      <c r="F376" s="285"/>
      <c r="G376" s="285"/>
      <c r="H376" s="18">
        <v>587214</v>
      </c>
    </row>
    <row r="377" spans="1:9" x14ac:dyDescent="0.25">
      <c r="A377" s="557">
        <v>46059</v>
      </c>
      <c r="B377" s="558" t="s">
        <v>795</v>
      </c>
      <c r="C377" s="558" t="s">
        <v>794</v>
      </c>
      <c r="D377" s="285"/>
      <c r="E377" s="285"/>
      <c r="F377" s="285"/>
      <c r="G377" s="285"/>
      <c r="H377" s="18">
        <v>39140</v>
      </c>
    </row>
    <row r="378" spans="1:9" x14ac:dyDescent="0.25">
      <c r="A378" s="557">
        <v>46059</v>
      </c>
      <c r="B378" s="554" t="s">
        <v>796</v>
      </c>
      <c r="C378" s="554" t="s">
        <v>776</v>
      </c>
      <c r="D378" s="587"/>
      <c r="E378" s="285"/>
      <c r="F378" s="285"/>
      <c r="G378" s="285"/>
      <c r="H378" s="18">
        <v>106050</v>
      </c>
      <c r="I378" s="5">
        <f>SUM(H373:H378)</f>
        <v>843910</v>
      </c>
    </row>
    <row r="379" spans="1:9" x14ac:dyDescent="0.25">
      <c r="A379" s="592">
        <v>46066</v>
      </c>
      <c r="B379" s="516" t="s">
        <v>834</v>
      </c>
      <c r="C379" s="516" t="s">
        <v>307</v>
      </c>
      <c r="D379" s="593"/>
      <c r="E379" s="594"/>
      <c r="F379" s="315"/>
      <c r="G379" s="315"/>
      <c r="H379" s="18">
        <v>26260</v>
      </c>
    </row>
    <row r="380" spans="1:9" x14ac:dyDescent="0.25">
      <c r="A380" s="595">
        <v>46066</v>
      </c>
      <c r="B380" s="596" t="s">
        <v>835</v>
      </c>
      <c r="C380" s="596" t="s">
        <v>307</v>
      </c>
      <c r="D380" s="597"/>
      <c r="E380" s="598"/>
      <c r="F380" s="599"/>
      <c r="G380" s="600"/>
      <c r="H380" s="601">
        <v>26260</v>
      </c>
    </row>
    <row r="381" spans="1:9" x14ac:dyDescent="0.25">
      <c r="A381" s="595">
        <v>46066</v>
      </c>
      <c r="B381" s="258" t="s">
        <v>829</v>
      </c>
      <c r="C381" s="258" t="s">
        <v>135</v>
      </c>
      <c r="D381" s="604"/>
      <c r="E381" s="378"/>
      <c r="F381" s="251"/>
      <c r="G381" s="251"/>
      <c r="H381" s="18">
        <v>36764</v>
      </c>
    </row>
    <row r="382" spans="1:9" x14ac:dyDescent="0.25">
      <c r="A382" s="592">
        <v>46066</v>
      </c>
      <c r="B382" s="516" t="s">
        <v>830</v>
      </c>
      <c r="C382" s="516" t="s">
        <v>831</v>
      </c>
      <c r="D382" s="593"/>
      <c r="E382" s="594"/>
      <c r="F382" s="315"/>
      <c r="G382" s="315"/>
      <c r="H382" s="18">
        <v>40397</v>
      </c>
    </row>
    <row r="383" spans="1:9" x14ac:dyDescent="0.25">
      <c r="A383" s="602">
        <v>46065</v>
      </c>
      <c r="B383" s="258" t="s">
        <v>825</v>
      </c>
      <c r="C383" s="258" t="s">
        <v>826</v>
      </c>
      <c r="D383" s="378"/>
      <c r="E383" s="251"/>
      <c r="F383" s="251"/>
      <c r="G383" s="251"/>
      <c r="H383" s="18">
        <v>351884</v>
      </c>
    </row>
    <row r="384" spans="1:9" x14ac:dyDescent="0.25">
      <c r="A384" s="602">
        <v>46065</v>
      </c>
      <c r="B384" s="257" t="s">
        <v>827</v>
      </c>
      <c r="C384" s="257" t="s">
        <v>538</v>
      </c>
      <c r="D384" s="378"/>
      <c r="E384" s="251"/>
      <c r="F384" s="251"/>
      <c r="G384" s="251"/>
      <c r="H384" s="18">
        <v>247248</v>
      </c>
    </row>
    <row r="385" spans="1:9" x14ac:dyDescent="0.25">
      <c r="A385" s="602">
        <v>46064</v>
      </c>
      <c r="B385" s="254" t="s">
        <v>818</v>
      </c>
      <c r="C385" s="254" t="s">
        <v>48</v>
      </c>
      <c r="D385" s="255"/>
      <c r="E385" s="251"/>
      <c r="F385" s="251"/>
      <c r="G385" s="251"/>
      <c r="H385" s="18">
        <v>14140</v>
      </c>
    </row>
    <row r="386" spans="1:9" x14ac:dyDescent="0.25">
      <c r="A386" s="602">
        <v>46064</v>
      </c>
      <c r="B386" s="254" t="s">
        <v>821</v>
      </c>
      <c r="C386" s="254" t="s">
        <v>70</v>
      </c>
      <c r="D386" s="255"/>
      <c r="E386" s="251"/>
      <c r="F386" s="251"/>
      <c r="G386" s="251"/>
      <c r="H386" s="18">
        <v>28280</v>
      </c>
    </row>
    <row r="387" spans="1:9" x14ac:dyDescent="0.25">
      <c r="A387" s="602">
        <v>46064</v>
      </c>
      <c r="B387" s="373" t="s">
        <v>822</v>
      </c>
      <c r="C387" s="373" t="s">
        <v>823</v>
      </c>
      <c r="D387" s="255"/>
      <c r="E387" s="251"/>
      <c r="F387" s="251"/>
      <c r="G387" s="251"/>
      <c r="H387" s="18">
        <v>202606</v>
      </c>
    </row>
    <row r="388" spans="1:9" x14ac:dyDescent="0.25">
      <c r="A388" s="602">
        <v>46063</v>
      </c>
      <c r="B388" s="254" t="s">
        <v>814</v>
      </c>
      <c r="C388" s="254" t="s">
        <v>48</v>
      </c>
      <c r="D388" s="255"/>
      <c r="E388" s="251"/>
      <c r="F388" s="251"/>
      <c r="G388" s="251"/>
      <c r="H388" s="18">
        <v>14140</v>
      </c>
    </row>
    <row r="389" spans="1:9" x14ac:dyDescent="0.25">
      <c r="A389" s="602">
        <v>46063</v>
      </c>
      <c r="B389" s="254" t="s">
        <v>815</v>
      </c>
      <c r="C389" s="254" t="s">
        <v>738</v>
      </c>
      <c r="D389" s="255"/>
      <c r="E389" s="251"/>
      <c r="F389" s="251"/>
      <c r="G389" s="251"/>
      <c r="H389" s="18">
        <v>15150</v>
      </c>
    </row>
    <row r="390" spans="1:9" ht="30" x14ac:dyDescent="0.25">
      <c r="A390" s="602">
        <v>46063</v>
      </c>
      <c r="B390" s="254" t="s">
        <v>817</v>
      </c>
      <c r="C390" s="254" t="s">
        <v>714</v>
      </c>
      <c r="D390" s="255"/>
      <c r="E390" s="251"/>
      <c r="F390" s="251"/>
      <c r="G390" s="251"/>
      <c r="H390" s="18">
        <v>24241</v>
      </c>
    </row>
    <row r="391" spans="1:9" x14ac:dyDescent="0.25">
      <c r="A391" s="602">
        <v>46063</v>
      </c>
      <c r="B391" s="603" t="s">
        <v>856</v>
      </c>
      <c r="C391" s="603" t="s">
        <v>855</v>
      </c>
      <c r="D391" s="599"/>
      <c r="E391" s="251"/>
      <c r="F391" s="251"/>
      <c r="G391" s="251"/>
      <c r="H391" s="18">
        <v>172710</v>
      </c>
    </row>
    <row r="392" spans="1:9" x14ac:dyDescent="0.25">
      <c r="A392" s="602">
        <v>46062</v>
      </c>
      <c r="B392" s="257" t="s">
        <v>811</v>
      </c>
      <c r="C392" s="257" t="s">
        <v>223</v>
      </c>
      <c r="D392" s="604"/>
      <c r="E392" s="251"/>
      <c r="F392" s="251"/>
      <c r="G392" s="251"/>
      <c r="H392" s="18">
        <v>20200</v>
      </c>
    </row>
    <row r="393" spans="1:9" x14ac:dyDescent="0.25">
      <c r="A393" s="602">
        <v>46062</v>
      </c>
      <c r="B393" s="596" t="s">
        <v>812</v>
      </c>
      <c r="C393" s="596" t="s">
        <v>223</v>
      </c>
      <c r="D393" s="597"/>
      <c r="E393" s="251"/>
      <c r="F393" s="251"/>
      <c r="G393" s="251"/>
      <c r="H393" s="18">
        <v>46461</v>
      </c>
    </row>
    <row r="394" spans="1:9" x14ac:dyDescent="0.25">
      <c r="A394" s="602">
        <v>46060</v>
      </c>
      <c r="B394" s="254" t="s">
        <v>802</v>
      </c>
      <c r="C394" s="254" t="s">
        <v>86</v>
      </c>
      <c r="D394" s="255"/>
      <c r="E394" s="251"/>
      <c r="F394" s="251"/>
      <c r="G394" s="251"/>
      <c r="H394" s="18">
        <v>470442</v>
      </c>
    </row>
    <row r="395" spans="1:9" x14ac:dyDescent="0.25">
      <c r="A395" s="590">
        <v>46058</v>
      </c>
      <c r="B395" s="516" t="s">
        <v>781</v>
      </c>
      <c r="C395" s="516" t="s">
        <v>753</v>
      </c>
      <c r="D395" s="591"/>
      <c r="E395" s="315"/>
      <c r="F395" s="315"/>
      <c r="G395" s="315"/>
      <c r="H395" s="18">
        <v>141804</v>
      </c>
    </row>
    <row r="396" spans="1:9" x14ac:dyDescent="0.25">
      <c r="A396" s="605">
        <v>46059</v>
      </c>
      <c r="B396" s="258" t="s">
        <v>792</v>
      </c>
      <c r="C396" s="258" t="s">
        <v>623</v>
      </c>
      <c r="D396" s="606"/>
      <c r="E396" s="251"/>
      <c r="F396" s="251"/>
      <c r="G396" s="251"/>
      <c r="H396" s="18">
        <v>31512</v>
      </c>
      <c r="I396" s="5">
        <f>SUM(H379:H396)</f>
        <v>1910499</v>
      </c>
    </row>
    <row r="397" spans="1:9" x14ac:dyDescent="0.25">
      <c r="A397" s="551">
        <v>46063</v>
      </c>
      <c r="B397" s="607" t="s">
        <v>857</v>
      </c>
      <c r="C397" s="607" t="s">
        <v>855</v>
      </c>
      <c r="D397" s="71"/>
      <c r="E397" s="364"/>
      <c r="F397" s="71"/>
      <c r="G397" s="71"/>
      <c r="H397" s="18">
        <v>45450</v>
      </c>
      <c r="I397" s="5">
        <f>H397</f>
        <v>45450</v>
      </c>
    </row>
    <row r="398" spans="1:9" x14ac:dyDescent="0.25">
      <c r="A398" s="608">
        <v>46066</v>
      </c>
      <c r="B398" s="459" t="s">
        <v>832</v>
      </c>
      <c r="C398" s="459" t="s">
        <v>833</v>
      </c>
      <c r="D398" s="609"/>
      <c r="E398" s="610"/>
      <c r="F398" s="461"/>
      <c r="G398" s="461"/>
      <c r="H398" s="18">
        <v>16160</v>
      </c>
    </row>
    <row r="399" spans="1:9" x14ac:dyDescent="0.25">
      <c r="A399" s="611">
        <v>46071</v>
      </c>
      <c r="B399" s="612" t="s">
        <v>846</v>
      </c>
      <c r="C399" s="612" t="s">
        <v>847</v>
      </c>
      <c r="D399" s="613"/>
      <c r="E399" s="461"/>
      <c r="F399" s="461"/>
      <c r="G399" s="461"/>
      <c r="H399" s="18">
        <v>141830</v>
      </c>
      <c r="I399" s="5">
        <f>H398+H399</f>
        <v>157990</v>
      </c>
    </row>
    <row r="400" spans="1:9" x14ac:dyDescent="0.25">
      <c r="A400" s="622">
        <v>46067</v>
      </c>
      <c r="B400" s="623" t="s">
        <v>836</v>
      </c>
      <c r="C400" s="623" t="s">
        <v>70</v>
      </c>
      <c r="D400" s="624"/>
      <c r="E400" s="445"/>
      <c r="F400" s="445"/>
      <c r="G400" s="445"/>
      <c r="H400" s="625">
        <v>16160</v>
      </c>
    </row>
    <row r="401" spans="1:9" x14ac:dyDescent="0.25">
      <c r="A401" s="622">
        <v>46069</v>
      </c>
      <c r="B401" s="626" t="s">
        <v>839</v>
      </c>
      <c r="C401" s="626" t="s">
        <v>538</v>
      </c>
      <c r="D401" s="627"/>
      <c r="E401" s="445"/>
      <c r="F401" s="445"/>
      <c r="G401" s="445"/>
      <c r="H401" s="625">
        <v>29088</v>
      </c>
      <c r="I401" s="5">
        <f>H400+H401</f>
        <v>45248</v>
      </c>
    </row>
    <row r="402" spans="1:9" x14ac:dyDescent="0.25">
      <c r="A402" s="557">
        <v>46065</v>
      </c>
      <c r="B402" s="558" t="s">
        <v>824</v>
      </c>
      <c r="C402" s="558" t="s">
        <v>283</v>
      </c>
      <c r="D402" s="285"/>
      <c r="E402" s="333"/>
      <c r="F402" s="285"/>
      <c r="G402" s="285"/>
      <c r="H402" s="628">
        <v>18180</v>
      </c>
    </row>
    <row r="403" spans="1:9" x14ac:dyDescent="0.25">
      <c r="A403" s="629">
        <v>46071</v>
      </c>
      <c r="B403" s="561" t="s">
        <v>844</v>
      </c>
      <c r="C403" s="561" t="s">
        <v>147</v>
      </c>
      <c r="D403" s="588"/>
      <c r="E403" s="285"/>
      <c r="F403" s="285"/>
      <c r="G403" s="285"/>
      <c r="H403" s="628">
        <v>14140</v>
      </c>
    </row>
    <row r="404" spans="1:9" x14ac:dyDescent="0.25">
      <c r="A404" s="629">
        <v>46071</v>
      </c>
      <c r="B404" s="558" t="s">
        <v>845</v>
      </c>
      <c r="C404" s="558" t="s">
        <v>86</v>
      </c>
      <c r="D404" s="588"/>
      <c r="E404" s="285"/>
      <c r="F404" s="285"/>
      <c r="G404" s="285"/>
      <c r="H404" s="628">
        <v>15150</v>
      </c>
    </row>
    <row r="405" spans="1:9" x14ac:dyDescent="0.25">
      <c r="A405" s="631">
        <v>46072</v>
      </c>
      <c r="B405" s="554" t="s">
        <v>849</v>
      </c>
      <c r="C405" s="554" t="s">
        <v>850</v>
      </c>
      <c r="D405" s="554"/>
      <c r="E405" s="587"/>
      <c r="F405" s="587"/>
      <c r="G405" s="587"/>
      <c r="H405" s="628">
        <v>53328</v>
      </c>
    </row>
    <row r="406" spans="1:9" x14ac:dyDescent="0.25">
      <c r="A406" s="632"/>
      <c r="B406" s="561" t="s">
        <v>906</v>
      </c>
      <c r="C406" s="632"/>
      <c r="D406" s="632"/>
      <c r="E406" s="632"/>
      <c r="F406" s="632"/>
      <c r="G406" s="632"/>
      <c r="H406" s="633">
        <v>298152</v>
      </c>
      <c r="I406" s="5">
        <f>SUM(H402:H406)</f>
        <v>398950</v>
      </c>
    </row>
    <row r="407" spans="1:9" x14ac:dyDescent="0.25">
      <c r="A407" s="634">
        <v>46066</v>
      </c>
      <c r="B407" s="81" t="s">
        <v>828</v>
      </c>
      <c r="C407" s="81" t="s">
        <v>86</v>
      </c>
      <c r="D407" s="81"/>
      <c r="E407" s="364"/>
      <c r="F407" s="71"/>
      <c r="G407" s="71"/>
      <c r="H407" s="152">
        <v>53238</v>
      </c>
    </row>
    <row r="408" spans="1:9" x14ac:dyDescent="0.25">
      <c r="A408" s="635">
        <v>46071</v>
      </c>
      <c r="B408" s="81" t="s">
        <v>843</v>
      </c>
      <c r="C408" s="81" t="s">
        <v>147</v>
      </c>
      <c r="D408" s="81"/>
      <c r="E408" s="71"/>
      <c r="F408" s="71"/>
      <c r="G408" s="71"/>
      <c r="H408" s="152">
        <v>34340</v>
      </c>
    </row>
    <row r="409" spans="1:9" x14ac:dyDescent="0.25">
      <c r="A409" s="634">
        <v>46073</v>
      </c>
      <c r="B409" s="75" t="s">
        <v>861</v>
      </c>
      <c r="C409" s="75" t="s">
        <v>163</v>
      </c>
      <c r="D409" s="636"/>
      <c r="E409" s="637"/>
      <c r="F409" s="299"/>
      <c r="G409" s="299"/>
      <c r="H409" s="152">
        <v>174528</v>
      </c>
      <c r="I409" s="5">
        <f>SUM(H407:H409)</f>
        <v>262106</v>
      </c>
    </row>
    <row r="410" spans="1:9" x14ac:dyDescent="0.25">
      <c r="A410" s="638">
        <v>46073</v>
      </c>
      <c r="B410" s="643" t="s">
        <v>860</v>
      </c>
      <c r="C410" s="643" t="s">
        <v>46</v>
      </c>
      <c r="D410" s="644"/>
      <c r="E410" s="645"/>
      <c r="F410" s="646"/>
      <c r="G410" s="646"/>
      <c r="H410" s="647">
        <v>88880</v>
      </c>
    </row>
    <row r="411" spans="1:9" x14ac:dyDescent="0.25">
      <c r="A411" s="638">
        <v>46073</v>
      </c>
      <c r="B411" s="643" t="s">
        <v>863</v>
      </c>
      <c r="C411" s="643" t="s">
        <v>135</v>
      </c>
      <c r="D411" s="644"/>
      <c r="E411" s="645"/>
      <c r="F411" s="646"/>
      <c r="G411" s="646"/>
      <c r="H411" s="647">
        <v>65448</v>
      </c>
    </row>
    <row r="412" spans="1:9" x14ac:dyDescent="0.25">
      <c r="A412" s="638">
        <v>46073</v>
      </c>
      <c r="B412" s="639" t="s">
        <v>864</v>
      </c>
      <c r="C412" s="639" t="s">
        <v>135</v>
      </c>
      <c r="D412" s="640"/>
      <c r="E412" s="641"/>
      <c r="F412" s="642"/>
      <c r="G412" s="642"/>
      <c r="H412" s="647">
        <v>24240</v>
      </c>
    </row>
    <row r="413" spans="1:9" ht="15.75" thickBot="1" x14ac:dyDescent="0.3">
      <c r="A413" s="648">
        <v>46074</v>
      </c>
      <c r="B413" s="653" t="s">
        <v>865</v>
      </c>
      <c r="C413" s="653" t="s">
        <v>147</v>
      </c>
      <c r="D413" s="646"/>
      <c r="E413" s="641"/>
      <c r="F413" s="642"/>
      <c r="G413" s="642"/>
      <c r="H413" s="647">
        <v>24240</v>
      </c>
    </row>
    <row r="414" spans="1:9" ht="15.75" thickBot="1" x14ac:dyDescent="0.3">
      <c r="A414" s="648">
        <v>46074</v>
      </c>
      <c r="B414" s="653" t="s">
        <v>867</v>
      </c>
      <c r="C414" s="653" t="s">
        <v>135</v>
      </c>
      <c r="D414" s="646"/>
      <c r="E414" s="651"/>
      <c r="F414" s="652"/>
      <c r="G414" s="652"/>
      <c r="H414" s="654">
        <v>28278</v>
      </c>
    </row>
    <row r="415" spans="1:9" x14ac:dyDescent="0.25">
      <c r="A415" s="648">
        <v>46074</v>
      </c>
      <c r="B415" s="649" t="s">
        <v>868</v>
      </c>
      <c r="C415" s="649" t="s">
        <v>623</v>
      </c>
      <c r="D415" s="646"/>
      <c r="E415" s="651"/>
      <c r="F415" s="652"/>
      <c r="G415" s="652"/>
      <c r="H415" s="647">
        <v>36764</v>
      </c>
    </row>
    <row r="416" spans="1:9" x14ac:dyDescent="0.25">
      <c r="A416" s="648">
        <v>46076</v>
      </c>
      <c r="B416" s="653" t="s">
        <v>871</v>
      </c>
      <c r="C416" s="653" t="s">
        <v>538</v>
      </c>
      <c r="D416" s="651"/>
      <c r="E416" s="652"/>
      <c r="F416" s="652"/>
      <c r="G416" s="652"/>
      <c r="H416" s="647">
        <v>111504</v>
      </c>
      <c r="I416" s="5">
        <f>SUM(H410:H416)</f>
        <v>379354</v>
      </c>
    </row>
    <row r="417" spans="1:9" x14ac:dyDescent="0.25">
      <c r="A417" s="629">
        <v>46074</v>
      </c>
      <c r="B417" s="286" t="s">
        <v>866</v>
      </c>
      <c r="C417" s="286" t="s">
        <v>86</v>
      </c>
      <c r="D417" s="556"/>
      <c r="E417" s="656"/>
      <c r="F417" s="657"/>
      <c r="G417" s="657"/>
      <c r="H417" s="628">
        <v>30300</v>
      </c>
    </row>
    <row r="418" spans="1:9" x14ac:dyDescent="0.25">
      <c r="A418" s="629">
        <v>46072</v>
      </c>
      <c r="B418" s="561" t="s">
        <v>848</v>
      </c>
      <c r="C418" s="561" t="s">
        <v>669</v>
      </c>
      <c r="D418" s="588"/>
      <c r="E418" s="285"/>
      <c r="F418" s="285"/>
      <c r="G418" s="285"/>
      <c r="H418" s="628">
        <v>65650</v>
      </c>
    </row>
    <row r="419" spans="1:9" x14ac:dyDescent="0.25">
      <c r="A419" s="557">
        <v>46065</v>
      </c>
      <c r="B419" s="655" t="s">
        <v>851</v>
      </c>
      <c r="C419" s="655" t="s">
        <v>852</v>
      </c>
      <c r="D419" s="285"/>
      <c r="E419" s="333"/>
      <c r="F419" s="285"/>
      <c r="G419" s="285"/>
      <c r="H419" s="628">
        <v>24240</v>
      </c>
      <c r="I419" s="5">
        <f>SUM(H417:H419)</f>
        <v>120190</v>
      </c>
    </row>
    <row r="420" spans="1:9" x14ac:dyDescent="0.25">
      <c r="A420" s="658">
        <v>46078</v>
      </c>
      <c r="B420" s="254" t="s">
        <v>886</v>
      </c>
      <c r="C420" s="254" t="s">
        <v>163</v>
      </c>
      <c r="D420" s="378"/>
      <c r="E420" s="251"/>
      <c r="F420" s="251"/>
      <c r="G420" s="251"/>
      <c r="H420" s="375">
        <v>24240</v>
      </c>
    </row>
    <row r="421" spans="1:9" x14ac:dyDescent="0.25">
      <c r="A421" s="658">
        <v>46077</v>
      </c>
      <c r="B421" s="254" t="s">
        <v>880</v>
      </c>
      <c r="C421" s="254" t="s">
        <v>147</v>
      </c>
      <c r="D421" s="659"/>
      <c r="E421" s="251"/>
      <c r="F421" s="251"/>
      <c r="G421" s="251"/>
      <c r="H421" s="375">
        <v>16160</v>
      </c>
    </row>
    <row r="422" spans="1:9" x14ac:dyDescent="0.25">
      <c r="A422" s="658">
        <v>46076</v>
      </c>
      <c r="B422" s="254" t="s">
        <v>869</v>
      </c>
      <c r="C422" s="254" t="s">
        <v>60</v>
      </c>
      <c r="D422" s="598"/>
      <c r="E422" s="251"/>
      <c r="F422" s="251"/>
      <c r="G422" s="251"/>
      <c r="H422" s="375">
        <v>31108</v>
      </c>
      <c r="I422" s="5">
        <f>SUM(H420:H422)</f>
        <v>71508</v>
      </c>
    </row>
    <row r="423" spans="1:9" x14ac:dyDescent="0.25">
      <c r="A423" s="666">
        <v>46078</v>
      </c>
      <c r="B423" s="667" t="s">
        <v>890</v>
      </c>
      <c r="C423" s="667" t="s">
        <v>850</v>
      </c>
      <c r="D423" s="668"/>
      <c r="E423" s="670"/>
      <c r="F423" s="670"/>
      <c r="G423" s="670"/>
      <c r="H423" s="665">
        <v>41208</v>
      </c>
    </row>
    <row r="424" spans="1:9" x14ac:dyDescent="0.25">
      <c r="A424" s="666">
        <v>46079</v>
      </c>
      <c r="B424" s="661" t="s">
        <v>896</v>
      </c>
      <c r="C424" s="661" t="s">
        <v>135</v>
      </c>
      <c r="D424" s="668"/>
      <c r="E424" s="670"/>
      <c r="F424" s="670"/>
      <c r="G424" s="670"/>
      <c r="H424" s="665">
        <v>30300</v>
      </c>
    </row>
    <row r="425" spans="1:9" ht="30" x14ac:dyDescent="0.25">
      <c r="A425" s="660">
        <v>46073</v>
      </c>
      <c r="B425" s="661" t="s">
        <v>858</v>
      </c>
      <c r="C425" s="661" t="s">
        <v>859</v>
      </c>
      <c r="D425" s="662"/>
      <c r="E425" s="663"/>
      <c r="F425" s="664"/>
      <c r="G425" s="664"/>
      <c r="H425" s="665">
        <v>20200</v>
      </c>
      <c r="I425" s="5">
        <f>SUM(H423:H425)</f>
        <v>91708</v>
      </c>
    </row>
    <row r="426" spans="1:9" x14ac:dyDescent="0.25">
      <c r="A426" s="672">
        <v>46080</v>
      </c>
      <c r="B426" s="269" t="s">
        <v>901</v>
      </c>
      <c r="C426" s="269" t="s">
        <v>902</v>
      </c>
      <c r="D426" s="262"/>
      <c r="E426" s="264"/>
      <c r="F426" s="264"/>
      <c r="G426" s="264"/>
      <c r="H426" s="507">
        <v>31108</v>
      </c>
    </row>
    <row r="427" spans="1:9" x14ac:dyDescent="0.25">
      <c r="A427" s="672">
        <v>46079</v>
      </c>
      <c r="B427" s="269" t="s">
        <v>894</v>
      </c>
      <c r="C427" s="269" t="s">
        <v>895</v>
      </c>
      <c r="D427" s="673"/>
      <c r="E427" s="264"/>
      <c r="F427" s="264"/>
      <c r="G427" s="264"/>
      <c r="H427" s="507">
        <v>14140</v>
      </c>
    </row>
    <row r="428" spans="1:9" x14ac:dyDescent="0.25">
      <c r="A428" s="672">
        <v>46078</v>
      </c>
      <c r="B428" s="267" t="s">
        <v>891</v>
      </c>
      <c r="C428" s="267" t="s">
        <v>892</v>
      </c>
      <c r="D428" s="673"/>
      <c r="E428" s="264"/>
      <c r="F428" s="264"/>
      <c r="G428" s="264"/>
      <c r="H428" s="507">
        <v>24240</v>
      </c>
    </row>
    <row r="429" spans="1:9" x14ac:dyDescent="0.25">
      <c r="A429" s="672">
        <v>46078</v>
      </c>
      <c r="B429" s="269" t="s">
        <v>889</v>
      </c>
      <c r="C429" s="269" t="s">
        <v>147</v>
      </c>
      <c r="D429" s="673"/>
      <c r="E429" s="264"/>
      <c r="F429" s="264"/>
      <c r="G429" s="264"/>
      <c r="H429" s="507">
        <v>88880</v>
      </c>
    </row>
    <row r="430" spans="1:9" x14ac:dyDescent="0.25">
      <c r="A430" s="672">
        <v>46078</v>
      </c>
      <c r="B430" s="269" t="s">
        <v>887</v>
      </c>
      <c r="C430" s="269" t="s">
        <v>517</v>
      </c>
      <c r="D430" s="673"/>
      <c r="E430" s="264"/>
      <c r="F430" s="264"/>
      <c r="G430" s="264"/>
      <c r="H430" s="507">
        <v>14140</v>
      </c>
    </row>
    <row r="431" spans="1:9" x14ac:dyDescent="0.25">
      <c r="A431" s="672">
        <v>46077</v>
      </c>
      <c r="B431" s="267" t="s">
        <v>883</v>
      </c>
      <c r="C431" s="267" t="s">
        <v>46</v>
      </c>
      <c r="D431" s="674"/>
      <c r="E431" s="264"/>
      <c r="F431" s="264"/>
      <c r="G431" s="264"/>
      <c r="H431" s="507">
        <v>52520</v>
      </c>
    </row>
    <row r="432" spans="1:9" x14ac:dyDescent="0.25">
      <c r="A432" s="672">
        <v>46077</v>
      </c>
      <c r="B432" s="269" t="s">
        <v>878</v>
      </c>
      <c r="C432" s="269" t="s">
        <v>214</v>
      </c>
      <c r="D432" s="673"/>
      <c r="E432" s="264"/>
      <c r="F432" s="264"/>
      <c r="G432" s="264"/>
      <c r="H432" s="507">
        <v>96960</v>
      </c>
    </row>
    <row r="433" spans="1:9" x14ac:dyDescent="0.25">
      <c r="A433" s="672">
        <v>46077</v>
      </c>
      <c r="B433" s="269" t="s">
        <v>879</v>
      </c>
      <c r="C433" s="269" t="s">
        <v>147</v>
      </c>
      <c r="D433" s="673"/>
      <c r="E433" s="264"/>
      <c r="F433" s="264"/>
      <c r="G433" s="264"/>
      <c r="H433" s="507">
        <v>84840</v>
      </c>
    </row>
    <row r="434" spans="1:9" x14ac:dyDescent="0.25">
      <c r="A434" s="672">
        <v>46076</v>
      </c>
      <c r="B434" s="269" t="s">
        <v>870</v>
      </c>
      <c r="C434" s="269" t="s">
        <v>46</v>
      </c>
      <c r="D434" s="673"/>
      <c r="E434" s="264"/>
      <c r="F434" s="264"/>
      <c r="G434" s="264"/>
      <c r="H434" s="507">
        <v>282800</v>
      </c>
      <c r="I434" s="675">
        <f>SUM(H426:H434)</f>
        <v>689628</v>
      </c>
    </row>
    <row r="435" spans="1:9" x14ac:dyDescent="0.25">
      <c r="A435" s="685">
        <v>46080</v>
      </c>
      <c r="B435" s="290" t="s">
        <v>899</v>
      </c>
      <c r="C435" s="290" t="s">
        <v>99</v>
      </c>
      <c r="D435" s="292">
        <v>0</v>
      </c>
      <c r="E435" s="282"/>
      <c r="F435" s="282"/>
      <c r="G435" s="686">
        <v>14140</v>
      </c>
    </row>
    <row r="436" spans="1:9" x14ac:dyDescent="0.25">
      <c r="A436" s="685">
        <v>46080</v>
      </c>
      <c r="B436" s="290" t="s">
        <v>900</v>
      </c>
      <c r="C436" s="290" t="s">
        <v>86</v>
      </c>
      <c r="D436" s="292">
        <v>0</v>
      </c>
      <c r="E436" s="282"/>
      <c r="F436" s="282"/>
      <c r="G436" s="686">
        <v>15150</v>
      </c>
    </row>
    <row r="437" spans="1:9" x14ac:dyDescent="0.25">
      <c r="A437" s="685">
        <v>46078</v>
      </c>
      <c r="B437" s="290" t="s">
        <v>888</v>
      </c>
      <c r="C437" s="290" t="s">
        <v>369</v>
      </c>
      <c r="D437" s="581">
        <v>0</v>
      </c>
      <c r="E437" s="282"/>
      <c r="F437" s="282"/>
      <c r="G437" s="686">
        <v>14140</v>
      </c>
    </row>
    <row r="438" spans="1:9" x14ac:dyDescent="0.25">
      <c r="A438" s="685">
        <v>46071</v>
      </c>
      <c r="B438" s="580" t="s">
        <v>841</v>
      </c>
      <c r="C438" s="580" t="s">
        <v>842</v>
      </c>
      <c r="D438" s="581">
        <v>0</v>
      </c>
      <c r="E438" s="282"/>
      <c r="F438" s="282"/>
      <c r="G438" s="686">
        <v>30300</v>
      </c>
    </row>
    <row r="439" spans="1:9" x14ac:dyDescent="0.25">
      <c r="A439" s="685">
        <v>46076</v>
      </c>
      <c r="B439" s="290" t="s">
        <v>872</v>
      </c>
      <c r="C439" s="290" t="s">
        <v>536</v>
      </c>
      <c r="D439" s="581">
        <v>0</v>
      </c>
      <c r="E439" s="282"/>
      <c r="F439" s="282"/>
      <c r="G439" s="686">
        <v>728816</v>
      </c>
      <c r="H439" s="5">
        <f>SUM(G435:G439)</f>
        <v>802546</v>
      </c>
    </row>
    <row r="440" spans="1:9" x14ac:dyDescent="0.25">
      <c r="A440" s="666">
        <v>46083</v>
      </c>
      <c r="B440" s="667" t="s">
        <v>909</v>
      </c>
      <c r="C440" s="667" t="s">
        <v>406</v>
      </c>
      <c r="D440" s="671">
        <v>0</v>
      </c>
      <c r="E440" s="670"/>
      <c r="F440" s="670"/>
      <c r="G440" s="665">
        <v>46056</v>
      </c>
    </row>
    <row r="441" spans="1:9" x14ac:dyDescent="0.25">
      <c r="A441" s="666">
        <v>46083</v>
      </c>
      <c r="B441" s="667" t="s">
        <v>910</v>
      </c>
      <c r="C441" s="667" t="s">
        <v>911</v>
      </c>
      <c r="D441" s="671">
        <v>0</v>
      </c>
      <c r="E441" s="670"/>
      <c r="F441" s="670"/>
      <c r="G441" s="665">
        <v>24241</v>
      </c>
    </row>
    <row r="442" spans="1:9" x14ac:dyDescent="0.25">
      <c r="A442" s="666">
        <v>46081</v>
      </c>
      <c r="B442" s="661" t="s">
        <v>904</v>
      </c>
      <c r="C442" s="661" t="s">
        <v>905</v>
      </c>
      <c r="D442" s="687">
        <v>0</v>
      </c>
      <c r="E442" s="670"/>
      <c r="F442" s="670"/>
      <c r="G442" s="665">
        <v>123624</v>
      </c>
    </row>
    <row r="443" spans="1:9" x14ac:dyDescent="0.25">
      <c r="A443" s="666">
        <v>46077</v>
      </c>
      <c r="B443" s="667" t="s">
        <v>881</v>
      </c>
      <c r="C443" s="667" t="s">
        <v>135</v>
      </c>
      <c r="D443" s="671">
        <v>0</v>
      </c>
      <c r="E443" s="670"/>
      <c r="F443" s="670"/>
      <c r="G443" s="665">
        <v>24241</v>
      </c>
    </row>
    <row r="444" spans="1:9" x14ac:dyDescent="0.25">
      <c r="A444" s="666">
        <v>46077</v>
      </c>
      <c r="B444" s="667" t="s">
        <v>882</v>
      </c>
      <c r="C444" s="667" t="s">
        <v>135</v>
      </c>
      <c r="D444" s="671">
        <v>0</v>
      </c>
      <c r="E444" s="670"/>
      <c r="F444" s="670"/>
      <c r="G444" s="665">
        <v>46460</v>
      </c>
    </row>
    <row r="445" spans="1:9" ht="15.75" thickBot="1" x14ac:dyDescent="0.3">
      <c r="A445" s="666">
        <v>46078</v>
      </c>
      <c r="B445" s="667" t="s">
        <v>885</v>
      </c>
      <c r="C445" s="667" t="s">
        <v>163</v>
      </c>
      <c r="D445" s="669">
        <v>0</v>
      </c>
      <c r="E445" s="670"/>
      <c r="F445" s="670"/>
      <c r="G445" s="665">
        <v>44440</v>
      </c>
    </row>
    <row r="446" spans="1:9" ht="15.75" thickBot="1" x14ac:dyDescent="0.3">
      <c r="A446" s="688"/>
      <c r="B446" s="689" t="s">
        <v>893</v>
      </c>
      <c r="C446" s="688"/>
      <c r="D446" s="688"/>
      <c r="E446" s="688"/>
      <c r="F446" s="688"/>
      <c r="G446" s="665">
        <v>15150</v>
      </c>
      <c r="H446" s="5">
        <f>SUM(G440:G446)</f>
        <v>324212</v>
      </c>
    </row>
    <row r="447" spans="1:9" x14ac:dyDescent="0.25">
      <c r="A447" s="695">
        <v>46083</v>
      </c>
      <c r="B447" s="700" t="s">
        <v>914</v>
      </c>
      <c r="C447" s="700" t="s">
        <v>915</v>
      </c>
      <c r="D447" s="701">
        <v>0</v>
      </c>
      <c r="E447" s="697"/>
      <c r="F447" s="697"/>
      <c r="G447" s="694">
        <v>16160</v>
      </c>
    </row>
    <row r="448" spans="1:9" x14ac:dyDescent="0.25">
      <c r="A448" s="695">
        <v>46081</v>
      </c>
      <c r="B448" s="696" t="s">
        <v>903</v>
      </c>
      <c r="C448" s="696" t="s">
        <v>898</v>
      </c>
      <c r="D448" s="699">
        <v>0</v>
      </c>
      <c r="E448" s="697"/>
      <c r="F448" s="697"/>
      <c r="G448" s="694">
        <v>15150</v>
      </c>
    </row>
    <row r="449" spans="1:8" x14ac:dyDescent="0.25">
      <c r="A449" s="695">
        <v>46080</v>
      </c>
      <c r="B449" s="696" t="s">
        <v>897</v>
      </c>
      <c r="C449" s="696" t="s">
        <v>898</v>
      </c>
      <c r="D449" s="698">
        <v>0</v>
      </c>
      <c r="E449" s="697"/>
      <c r="F449" s="697"/>
      <c r="G449" s="694">
        <v>15150</v>
      </c>
    </row>
    <row r="450" spans="1:8" x14ac:dyDescent="0.25">
      <c r="A450" s="695">
        <v>46076</v>
      </c>
      <c r="B450" s="696" t="s">
        <v>876</v>
      </c>
      <c r="C450" s="696" t="s">
        <v>842</v>
      </c>
      <c r="D450" s="692">
        <v>0</v>
      </c>
      <c r="E450" s="697"/>
      <c r="F450" s="697"/>
      <c r="G450" s="694">
        <v>46460</v>
      </c>
    </row>
    <row r="451" spans="1:8" x14ac:dyDescent="0.25">
      <c r="A451" s="690">
        <v>46073</v>
      </c>
      <c r="B451" s="691" t="s">
        <v>862</v>
      </c>
      <c r="C451" s="691" t="s">
        <v>163</v>
      </c>
      <c r="D451" s="692">
        <v>0</v>
      </c>
      <c r="E451" s="693"/>
      <c r="F451" s="693"/>
      <c r="G451" s="694">
        <v>1039290</v>
      </c>
      <c r="H451" s="5">
        <f>SUM(G447:G451)</f>
        <v>1132210</v>
      </c>
    </row>
    <row r="452" spans="1:8" x14ac:dyDescent="0.25">
      <c r="A452" s="702">
        <v>46084</v>
      </c>
      <c r="B452" s="703" t="s">
        <v>923</v>
      </c>
      <c r="C452" s="703" t="s">
        <v>924</v>
      </c>
      <c r="D452" s="705">
        <v>0</v>
      </c>
      <c r="E452" s="315"/>
      <c r="F452" s="315"/>
      <c r="G452" s="704">
        <v>24240</v>
      </c>
    </row>
    <row r="453" spans="1:8" x14ac:dyDescent="0.25">
      <c r="A453" s="702">
        <v>46085</v>
      </c>
      <c r="B453" s="703" t="s">
        <v>927</v>
      </c>
      <c r="C453" s="703" t="s">
        <v>820</v>
      </c>
      <c r="D453" s="705">
        <v>0</v>
      </c>
      <c r="E453" s="315"/>
      <c r="F453" s="315"/>
      <c r="G453" s="704">
        <v>30303</v>
      </c>
    </row>
    <row r="454" spans="1:8" x14ac:dyDescent="0.25">
      <c r="A454" s="702">
        <v>46083</v>
      </c>
      <c r="B454" s="316" t="s">
        <v>913</v>
      </c>
      <c r="C454" s="316" t="s">
        <v>538</v>
      </c>
      <c r="D454" s="512">
        <v>0</v>
      </c>
      <c r="E454" s="315"/>
      <c r="F454" s="315"/>
      <c r="G454" s="704">
        <v>80800</v>
      </c>
    </row>
    <row r="455" spans="1:8" x14ac:dyDescent="0.25">
      <c r="A455" s="702">
        <v>46083</v>
      </c>
      <c r="B455" s="316" t="s">
        <v>907</v>
      </c>
      <c r="C455" s="316" t="s">
        <v>60</v>
      </c>
      <c r="D455" s="512">
        <v>0</v>
      </c>
      <c r="E455" s="315"/>
      <c r="F455" s="315"/>
      <c r="G455" s="704">
        <v>39592</v>
      </c>
    </row>
    <row r="456" spans="1:8" x14ac:dyDescent="0.25">
      <c r="A456" s="702">
        <v>46083</v>
      </c>
      <c r="B456" s="316" t="s">
        <v>908</v>
      </c>
      <c r="C456" s="316" t="s">
        <v>517</v>
      </c>
      <c r="D456" s="512">
        <v>0</v>
      </c>
      <c r="E456" s="315"/>
      <c r="F456" s="315"/>
      <c r="G456" s="704">
        <v>31108</v>
      </c>
    </row>
    <row r="457" spans="1:8" x14ac:dyDescent="0.25">
      <c r="A457" s="702">
        <v>46076</v>
      </c>
      <c r="B457" s="316" t="s">
        <v>873</v>
      </c>
      <c r="C457" s="316" t="s">
        <v>874</v>
      </c>
      <c r="D457" s="318">
        <v>0</v>
      </c>
      <c r="E457" s="315"/>
      <c r="F457" s="315"/>
      <c r="G457" s="704">
        <v>31512</v>
      </c>
    </row>
    <row r="458" spans="1:8" x14ac:dyDescent="0.25">
      <c r="A458" s="702">
        <v>46076</v>
      </c>
      <c r="B458" s="703" t="s">
        <v>877</v>
      </c>
      <c r="C458" s="703" t="s">
        <v>842</v>
      </c>
      <c r="D458" s="318">
        <v>0</v>
      </c>
      <c r="E458" s="315"/>
      <c r="F458" s="315"/>
      <c r="G458" s="704">
        <v>20200</v>
      </c>
    </row>
    <row r="459" spans="1:8" ht="15.75" thickBot="1" x14ac:dyDescent="0.3">
      <c r="A459" s="702">
        <v>46078</v>
      </c>
      <c r="B459" s="316" t="s">
        <v>884</v>
      </c>
      <c r="C459" s="316" t="s">
        <v>163</v>
      </c>
      <c r="D459" s="515">
        <v>0</v>
      </c>
      <c r="E459" s="315"/>
      <c r="F459" s="315"/>
      <c r="G459" s="704">
        <v>58176</v>
      </c>
      <c r="H459" s="5"/>
    </row>
    <row r="460" spans="1:8" ht="15.75" thickBot="1" x14ac:dyDescent="0.3">
      <c r="A460" s="315"/>
      <c r="B460" s="707" t="s">
        <v>972</v>
      </c>
      <c r="C460" s="315"/>
      <c r="D460" s="315"/>
      <c r="E460" s="315"/>
      <c r="F460" s="315"/>
      <c r="G460" s="706">
        <v>38784</v>
      </c>
      <c r="H460" s="186">
        <f>SUM(G452:G460)</f>
        <v>354715</v>
      </c>
    </row>
    <row r="461" spans="1:8" x14ac:dyDescent="0.25">
      <c r="A461" s="685">
        <v>46076</v>
      </c>
      <c r="B461" s="290" t="s">
        <v>875</v>
      </c>
      <c r="C461" s="290" t="s">
        <v>46</v>
      </c>
      <c r="D461" s="581">
        <v>0</v>
      </c>
      <c r="E461" s="282"/>
      <c r="F461" s="282"/>
      <c r="G461" s="686">
        <v>80800</v>
      </c>
    </row>
    <row r="462" spans="1:8" x14ac:dyDescent="0.25">
      <c r="A462" s="685">
        <v>46086</v>
      </c>
      <c r="B462" s="580" t="s">
        <v>931</v>
      </c>
      <c r="C462" s="580" t="s">
        <v>538</v>
      </c>
      <c r="D462" s="581">
        <v>0</v>
      </c>
      <c r="E462" s="282"/>
      <c r="F462" s="282"/>
      <c r="G462" s="686">
        <v>38784</v>
      </c>
      <c r="H462" s="5">
        <f>G461+G462</f>
        <v>119584</v>
      </c>
    </row>
    <row r="463" spans="1:8" x14ac:dyDescent="0.25">
      <c r="A463" s="708">
        <v>46083</v>
      </c>
      <c r="B463" s="475" t="s">
        <v>912</v>
      </c>
      <c r="C463" s="475" t="s">
        <v>135</v>
      </c>
      <c r="D463" s="477">
        <v>0</v>
      </c>
      <c r="E463" s="478"/>
      <c r="F463" s="478"/>
      <c r="G463" s="479">
        <v>17169</v>
      </c>
    </row>
    <row r="464" spans="1:8" x14ac:dyDescent="0.25">
      <c r="A464" s="708">
        <v>46084</v>
      </c>
      <c r="B464" s="475" t="s">
        <v>918</v>
      </c>
      <c r="C464" s="475" t="s">
        <v>919</v>
      </c>
      <c r="D464" s="477">
        <v>0</v>
      </c>
      <c r="E464" s="478"/>
      <c r="F464" s="478"/>
      <c r="G464" s="479">
        <v>28280</v>
      </c>
    </row>
    <row r="465" spans="1:8" x14ac:dyDescent="0.25">
      <c r="A465" s="708">
        <v>46084</v>
      </c>
      <c r="B465" s="475" t="s">
        <v>920</v>
      </c>
      <c r="C465" s="475" t="s">
        <v>921</v>
      </c>
      <c r="D465" s="477">
        <v>0</v>
      </c>
      <c r="E465" s="478"/>
      <c r="F465" s="478"/>
      <c r="G465" s="479">
        <v>37876</v>
      </c>
    </row>
    <row r="466" spans="1:8" x14ac:dyDescent="0.25">
      <c r="A466" s="708">
        <v>46085</v>
      </c>
      <c r="B466" s="475" t="s">
        <v>925</v>
      </c>
      <c r="C466" s="475" t="s">
        <v>926</v>
      </c>
      <c r="D466" s="477">
        <v>0</v>
      </c>
      <c r="E466" s="478"/>
      <c r="F466" s="478"/>
      <c r="G466" s="479">
        <v>37774</v>
      </c>
      <c r="H466" s="5">
        <f>SUM(G463:G466)</f>
        <v>121099</v>
      </c>
    </row>
    <row r="467" spans="1:8" x14ac:dyDescent="0.25">
      <c r="A467" s="709">
        <v>46084</v>
      </c>
      <c r="B467" s="535" t="s">
        <v>922</v>
      </c>
      <c r="C467" s="535" t="s">
        <v>46</v>
      </c>
      <c r="D467" s="534">
        <v>0</v>
      </c>
      <c r="E467" s="38"/>
      <c r="F467" s="38"/>
      <c r="G467" s="710">
        <v>131300</v>
      </c>
    </row>
    <row r="468" spans="1:8" x14ac:dyDescent="0.25">
      <c r="A468" s="709">
        <v>46086</v>
      </c>
      <c r="B468" s="711" t="s">
        <v>928</v>
      </c>
      <c r="C468" s="711" t="s">
        <v>163</v>
      </c>
      <c r="D468" s="712">
        <v>0</v>
      </c>
      <c r="E468" s="38"/>
      <c r="F468" s="38"/>
      <c r="G468" s="710">
        <v>224112</v>
      </c>
    </row>
    <row r="469" spans="1:8" x14ac:dyDescent="0.25">
      <c r="A469" s="709">
        <v>46087</v>
      </c>
      <c r="B469" s="535" t="s">
        <v>934</v>
      </c>
      <c r="C469" s="535" t="s">
        <v>46</v>
      </c>
      <c r="D469" s="534">
        <v>0</v>
      </c>
      <c r="E469" s="38"/>
      <c r="F469" s="38"/>
      <c r="G469" s="710">
        <v>84840</v>
      </c>
    </row>
    <row r="470" spans="1:8" x14ac:dyDescent="0.25">
      <c r="A470" s="709">
        <v>46087</v>
      </c>
      <c r="B470" s="531" t="s">
        <v>935</v>
      </c>
      <c r="C470" s="531" t="s">
        <v>46</v>
      </c>
      <c r="D470" s="533">
        <v>0</v>
      </c>
      <c r="E470" s="38"/>
      <c r="F470" s="38"/>
      <c r="G470" s="710">
        <v>43632</v>
      </c>
      <c r="H470" s="5">
        <f>SUM(G467:G470)</f>
        <v>483884</v>
      </c>
    </row>
    <row r="471" spans="1:8" x14ac:dyDescent="0.25">
      <c r="A471" s="713">
        <v>46090</v>
      </c>
      <c r="B471" s="451" t="s">
        <v>946</v>
      </c>
      <c r="C471" s="451" t="s">
        <v>947</v>
      </c>
      <c r="D471" s="454">
        <v>0</v>
      </c>
      <c r="E471" s="450"/>
      <c r="F471" s="450"/>
      <c r="G471" s="714">
        <v>92112</v>
      </c>
      <c r="H471" s="5">
        <f>G471</f>
        <v>92112</v>
      </c>
    </row>
    <row r="472" spans="1:8" x14ac:dyDescent="0.25">
      <c r="A472" s="715">
        <v>46087</v>
      </c>
      <c r="B472" s="396" t="s">
        <v>933</v>
      </c>
      <c r="C472" s="396" t="s">
        <v>46</v>
      </c>
      <c r="D472" s="397">
        <v>0</v>
      </c>
      <c r="E472" s="388"/>
      <c r="F472" s="388"/>
      <c r="G472" s="394">
        <v>28278</v>
      </c>
    </row>
    <row r="473" spans="1:8" x14ac:dyDescent="0.25">
      <c r="A473" s="715">
        <v>46088</v>
      </c>
      <c r="B473" s="396" t="s">
        <v>937</v>
      </c>
      <c r="C473" s="396" t="s">
        <v>938</v>
      </c>
      <c r="D473" s="716">
        <v>0</v>
      </c>
      <c r="E473" s="388"/>
      <c r="F473" s="388"/>
      <c r="G473" s="394">
        <v>14140</v>
      </c>
      <c r="H473" s="717"/>
    </row>
    <row r="474" spans="1:8" x14ac:dyDescent="0.25">
      <c r="A474" s="715">
        <v>46090</v>
      </c>
      <c r="B474" s="396" t="s">
        <v>941</v>
      </c>
      <c r="C474" s="396" t="s">
        <v>794</v>
      </c>
      <c r="D474" s="718">
        <v>0</v>
      </c>
      <c r="E474" s="388"/>
      <c r="F474" s="388"/>
      <c r="G474" s="394">
        <v>20200</v>
      </c>
      <c r="H474" s="5">
        <f>SUM(G472:G474)</f>
        <v>62618</v>
      </c>
    </row>
    <row r="475" spans="1:8" x14ac:dyDescent="0.25">
      <c r="A475" s="635">
        <v>46086</v>
      </c>
      <c r="B475" s="154" t="s">
        <v>932</v>
      </c>
      <c r="C475" s="154" t="s">
        <v>898</v>
      </c>
      <c r="D475" s="156">
        <v>0</v>
      </c>
      <c r="E475" s="71"/>
      <c r="F475" s="71"/>
      <c r="G475" s="152">
        <v>46460</v>
      </c>
    </row>
    <row r="476" spans="1:8" x14ac:dyDescent="0.25">
      <c r="A476" s="635">
        <v>46090</v>
      </c>
      <c r="B476" s="226" t="s">
        <v>939</v>
      </c>
      <c r="C476" s="226" t="s">
        <v>794</v>
      </c>
      <c r="D476" s="148">
        <v>0</v>
      </c>
      <c r="E476" s="71"/>
      <c r="F476" s="71"/>
      <c r="G476" s="152">
        <v>15150</v>
      </c>
    </row>
    <row r="477" spans="1:8" x14ac:dyDescent="0.25">
      <c r="A477" s="635">
        <v>46090</v>
      </c>
      <c r="B477" s="226" t="s">
        <v>940</v>
      </c>
      <c r="C477" s="226" t="s">
        <v>794</v>
      </c>
      <c r="D477" s="79">
        <v>0</v>
      </c>
      <c r="E477" s="71"/>
      <c r="F477" s="71"/>
      <c r="G477" s="152">
        <v>18180</v>
      </c>
    </row>
    <row r="478" spans="1:8" x14ac:dyDescent="0.25">
      <c r="A478" s="635">
        <v>46090</v>
      </c>
      <c r="B478" s="226" t="s">
        <v>943</v>
      </c>
      <c r="C478" s="226" t="s">
        <v>517</v>
      </c>
      <c r="D478" s="148">
        <v>0</v>
      </c>
      <c r="E478" s="71"/>
      <c r="F478" s="71"/>
      <c r="G478" s="152">
        <v>39592</v>
      </c>
    </row>
    <row r="479" spans="1:8" x14ac:dyDescent="0.25">
      <c r="A479" s="635">
        <v>46090</v>
      </c>
      <c r="B479" s="226" t="s">
        <v>944</v>
      </c>
      <c r="C479" s="226" t="s">
        <v>621</v>
      </c>
      <c r="D479" s="148">
        <v>0</v>
      </c>
      <c r="E479" s="71"/>
      <c r="F479" s="71"/>
      <c r="G479" s="152">
        <v>248192</v>
      </c>
    </row>
    <row r="480" spans="1:8" x14ac:dyDescent="0.25">
      <c r="A480" s="635">
        <v>46090</v>
      </c>
      <c r="B480" s="226" t="s">
        <v>945</v>
      </c>
      <c r="C480" s="226" t="s">
        <v>63</v>
      </c>
      <c r="D480" s="148">
        <v>0</v>
      </c>
      <c r="E480" s="71"/>
      <c r="F480" s="71"/>
      <c r="G480" s="152">
        <v>14140</v>
      </c>
      <c r="H480" s="720"/>
    </row>
    <row r="481" spans="1:8" x14ac:dyDescent="0.25">
      <c r="A481" s="635">
        <v>46090</v>
      </c>
      <c r="B481" s="226" t="s">
        <v>948</v>
      </c>
      <c r="C481" s="226" t="s">
        <v>949</v>
      </c>
      <c r="D481" s="79">
        <v>0</v>
      </c>
      <c r="E481" s="71"/>
      <c r="F481" s="71"/>
      <c r="G481" s="152">
        <v>109080</v>
      </c>
    </row>
    <row r="482" spans="1:8" x14ac:dyDescent="0.25">
      <c r="A482" s="635">
        <v>46091</v>
      </c>
      <c r="B482" s="226" t="s">
        <v>958</v>
      </c>
      <c r="C482" s="226" t="s">
        <v>48</v>
      </c>
      <c r="D482" s="227">
        <v>0</v>
      </c>
      <c r="E482" s="71"/>
      <c r="F482" s="71"/>
      <c r="G482" s="152">
        <v>27270</v>
      </c>
    </row>
    <row r="483" spans="1:8" x14ac:dyDescent="0.25">
      <c r="A483" s="635">
        <v>46092</v>
      </c>
      <c r="B483" s="81" t="s">
        <v>964</v>
      </c>
      <c r="C483" s="81" t="s">
        <v>86</v>
      </c>
      <c r="D483" s="148">
        <v>0</v>
      </c>
      <c r="E483" s="71"/>
      <c r="F483" s="71"/>
      <c r="G483" s="152">
        <v>26664</v>
      </c>
    </row>
    <row r="484" spans="1:8" x14ac:dyDescent="0.25">
      <c r="A484" s="635">
        <v>46092</v>
      </c>
      <c r="B484" s="154" t="s">
        <v>965</v>
      </c>
      <c r="C484" s="154" t="s">
        <v>966</v>
      </c>
      <c r="D484" s="79">
        <v>0</v>
      </c>
      <c r="E484" s="71"/>
      <c r="F484" s="71"/>
      <c r="G484" s="152">
        <v>48480</v>
      </c>
      <c r="H484" s="5">
        <f>SUM(G475:G484)</f>
        <v>593208</v>
      </c>
    </row>
    <row r="485" spans="1:8" x14ac:dyDescent="0.25">
      <c r="A485" s="672">
        <v>46090</v>
      </c>
      <c r="B485" s="269" t="s">
        <v>942</v>
      </c>
      <c r="C485" s="269" t="s">
        <v>921</v>
      </c>
      <c r="D485" s="263">
        <v>0</v>
      </c>
      <c r="E485" s="264"/>
      <c r="F485" s="264"/>
      <c r="G485" s="507">
        <v>212100</v>
      </c>
    </row>
    <row r="486" spans="1:8" x14ac:dyDescent="0.25">
      <c r="A486" s="672">
        <v>46090</v>
      </c>
      <c r="B486" s="267" t="s">
        <v>950</v>
      </c>
      <c r="C486" s="267" t="s">
        <v>160</v>
      </c>
      <c r="D486" s="263">
        <v>0</v>
      </c>
      <c r="E486" s="264"/>
      <c r="F486" s="264"/>
      <c r="G486" s="507">
        <v>101808</v>
      </c>
    </row>
    <row r="487" spans="1:8" x14ac:dyDescent="0.25">
      <c r="A487" s="672">
        <v>46091</v>
      </c>
      <c r="B487" s="269" t="s">
        <v>952</v>
      </c>
      <c r="C487" s="269" t="s">
        <v>953</v>
      </c>
      <c r="D487" s="271">
        <v>0</v>
      </c>
      <c r="E487" s="264"/>
      <c r="F487" s="264"/>
      <c r="G487" s="507">
        <v>116232</v>
      </c>
    </row>
    <row r="488" spans="1:8" x14ac:dyDescent="0.25">
      <c r="A488" s="672">
        <v>46091</v>
      </c>
      <c r="B488" s="269" t="s">
        <v>955</v>
      </c>
      <c r="C488" s="269" t="s">
        <v>956</v>
      </c>
      <c r="D488" s="271">
        <v>0</v>
      </c>
      <c r="E488" s="264"/>
      <c r="F488" s="264"/>
      <c r="G488" s="507">
        <v>18180</v>
      </c>
    </row>
    <row r="489" spans="1:8" x14ac:dyDescent="0.25">
      <c r="A489" s="672">
        <v>46086</v>
      </c>
      <c r="B489" s="261" t="s">
        <v>930</v>
      </c>
      <c r="C489" s="261" t="s">
        <v>406</v>
      </c>
      <c r="D489" s="263">
        <v>0</v>
      </c>
      <c r="E489" s="264"/>
      <c r="F489" s="264"/>
      <c r="G489" s="507">
        <v>50500</v>
      </c>
      <c r="H489" s="5">
        <f>SUM(G485:G489)</f>
        <v>498820</v>
      </c>
    </row>
    <row r="490" spans="1:8" x14ac:dyDescent="0.25">
      <c r="A490" s="724"/>
      <c r="B490" s="727" t="s">
        <v>968</v>
      </c>
      <c r="C490" s="724"/>
      <c r="D490" s="724"/>
      <c r="E490" s="724"/>
      <c r="F490" s="724"/>
      <c r="G490" s="479">
        <v>31512</v>
      </c>
    </row>
    <row r="491" spans="1:8" x14ac:dyDescent="0.25">
      <c r="A491" s="708">
        <v>46095</v>
      </c>
      <c r="B491" s="726" t="s">
        <v>982</v>
      </c>
      <c r="C491" s="726" t="s">
        <v>983</v>
      </c>
      <c r="D491" s="484">
        <v>0</v>
      </c>
      <c r="E491" s="724"/>
      <c r="F491" s="724"/>
      <c r="G491" s="479">
        <v>14140</v>
      </c>
    </row>
    <row r="492" spans="1:8" x14ac:dyDescent="0.25">
      <c r="A492" s="721">
        <v>46094</v>
      </c>
      <c r="B492" s="722" t="s">
        <v>978</v>
      </c>
      <c r="C492" s="722" t="s">
        <v>538</v>
      </c>
      <c r="D492" s="723">
        <v>0</v>
      </c>
      <c r="E492" s="724"/>
      <c r="F492" s="724"/>
      <c r="G492" s="479">
        <v>50904</v>
      </c>
    </row>
    <row r="493" spans="1:8" x14ac:dyDescent="0.25">
      <c r="A493" s="721">
        <v>46093</v>
      </c>
      <c r="B493" s="475" t="s">
        <v>969</v>
      </c>
      <c r="C493" s="475" t="s">
        <v>135</v>
      </c>
      <c r="D493" s="484">
        <v>0</v>
      </c>
      <c r="E493" s="478"/>
      <c r="F493" s="478"/>
      <c r="G493" s="479">
        <v>24240</v>
      </c>
    </row>
    <row r="494" spans="1:8" x14ac:dyDescent="0.25">
      <c r="A494" s="708">
        <v>46092</v>
      </c>
      <c r="B494" s="725" t="s">
        <v>962</v>
      </c>
      <c r="C494" s="725" t="s">
        <v>135</v>
      </c>
      <c r="D494" s="723">
        <v>0</v>
      </c>
      <c r="E494" s="478"/>
      <c r="F494" s="478"/>
      <c r="G494" s="479">
        <v>55752</v>
      </c>
    </row>
    <row r="495" spans="1:8" x14ac:dyDescent="0.25">
      <c r="A495" s="708">
        <v>46092</v>
      </c>
      <c r="B495" s="483" t="s">
        <v>963</v>
      </c>
      <c r="C495" s="483" t="s">
        <v>135</v>
      </c>
      <c r="D495" s="484">
        <v>0</v>
      </c>
      <c r="E495" s="478"/>
      <c r="F495" s="478"/>
      <c r="G495" s="479">
        <v>36360</v>
      </c>
    </row>
    <row r="496" spans="1:8" x14ac:dyDescent="0.25">
      <c r="A496" s="708">
        <v>46091</v>
      </c>
      <c r="B496" s="475" t="s">
        <v>957</v>
      </c>
      <c r="C496" s="475" t="s">
        <v>135</v>
      </c>
      <c r="D496" s="477">
        <v>0</v>
      </c>
      <c r="E496" s="478"/>
      <c r="F496" s="478"/>
      <c r="G496" s="479">
        <v>24240</v>
      </c>
    </row>
    <row r="497" spans="1:8" x14ac:dyDescent="0.25">
      <c r="A497" s="708">
        <v>46091</v>
      </c>
      <c r="B497" s="475" t="s">
        <v>954</v>
      </c>
      <c r="C497" s="475" t="s">
        <v>538</v>
      </c>
      <c r="D497" s="477">
        <v>0</v>
      </c>
      <c r="E497" s="478"/>
      <c r="F497" s="478"/>
      <c r="G497" s="479">
        <v>121200</v>
      </c>
    </row>
    <row r="498" spans="1:8" x14ac:dyDescent="0.25">
      <c r="A498" s="708">
        <v>46091</v>
      </c>
      <c r="B498" s="475" t="s">
        <v>951</v>
      </c>
      <c r="C498" s="475" t="s">
        <v>167</v>
      </c>
      <c r="D498" s="477">
        <v>0</v>
      </c>
      <c r="E498" s="478"/>
      <c r="F498" s="478"/>
      <c r="G498" s="479">
        <v>126250</v>
      </c>
      <c r="H498" s="5"/>
    </row>
    <row r="499" spans="1:8" x14ac:dyDescent="0.25">
      <c r="A499" s="708">
        <v>46084</v>
      </c>
      <c r="B499" s="475" t="s">
        <v>916</v>
      </c>
      <c r="C499" s="475" t="s">
        <v>917</v>
      </c>
      <c r="D499" s="477">
        <v>0</v>
      </c>
      <c r="E499" s="478"/>
      <c r="F499" s="478"/>
      <c r="G499" s="479">
        <v>410868</v>
      </c>
    </row>
    <row r="500" spans="1:8" x14ac:dyDescent="0.25">
      <c r="A500" s="708">
        <v>46086</v>
      </c>
      <c r="B500" s="483" t="s">
        <v>929</v>
      </c>
      <c r="C500" s="483" t="s">
        <v>135</v>
      </c>
      <c r="D500" s="484">
        <v>0</v>
      </c>
      <c r="E500" s="478"/>
      <c r="F500" s="478"/>
      <c r="G500" s="479">
        <v>15150</v>
      </c>
      <c r="H500" s="5">
        <f>SUM(G490:G500)</f>
        <v>910616</v>
      </c>
    </row>
    <row r="501" spans="1:8" x14ac:dyDescent="0.25">
      <c r="A501" s="629">
        <v>46095</v>
      </c>
      <c r="B501" s="561" t="s">
        <v>981</v>
      </c>
      <c r="C501" s="561" t="s">
        <v>86</v>
      </c>
      <c r="D501" s="630"/>
      <c r="E501" s="288"/>
      <c r="F501" s="288"/>
      <c r="G501" s="628">
        <v>28278</v>
      </c>
    </row>
    <row r="502" spans="1:8" x14ac:dyDescent="0.25">
      <c r="A502" s="729">
        <v>46094</v>
      </c>
      <c r="B502" s="561" t="s">
        <v>977</v>
      </c>
      <c r="C502" s="561" t="s">
        <v>46</v>
      </c>
      <c r="D502" s="630">
        <v>0</v>
      </c>
      <c r="E502" s="288"/>
      <c r="F502" s="288"/>
      <c r="G502" s="628">
        <v>57772</v>
      </c>
    </row>
    <row r="503" spans="1:8" x14ac:dyDescent="0.25">
      <c r="A503" s="729">
        <v>46094</v>
      </c>
      <c r="B503" s="558" t="s">
        <v>973</v>
      </c>
      <c r="C503" s="558" t="s">
        <v>842</v>
      </c>
      <c r="D503" s="563">
        <v>0</v>
      </c>
      <c r="E503" s="288"/>
      <c r="F503" s="288"/>
      <c r="G503" s="628">
        <v>20200</v>
      </c>
    </row>
    <row r="504" spans="1:8" x14ac:dyDescent="0.25">
      <c r="A504" s="729">
        <v>46094</v>
      </c>
      <c r="B504" s="561" t="s">
        <v>974</v>
      </c>
      <c r="C504" s="561" t="s">
        <v>48</v>
      </c>
      <c r="D504" s="630">
        <v>0</v>
      </c>
      <c r="E504" s="288"/>
      <c r="F504" s="288"/>
      <c r="G504" s="628">
        <v>20000</v>
      </c>
    </row>
    <row r="505" spans="1:8" x14ac:dyDescent="0.25">
      <c r="A505" s="729">
        <v>46094</v>
      </c>
      <c r="B505" s="561" t="s">
        <v>975</v>
      </c>
      <c r="C505" s="561" t="s">
        <v>46</v>
      </c>
      <c r="D505" s="630">
        <v>0</v>
      </c>
      <c r="E505" s="288"/>
      <c r="F505" s="288"/>
      <c r="G505" s="628">
        <v>84032</v>
      </c>
    </row>
    <row r="506" spans="1:8" x14ac:dyDescent="0.25">
      <c r="A506" s="629">
        <v>46091</v>
      </c>
      <c r="B506" s="728" t="s">
        <v>959</v>
      </c>
      <c r="C506" s="728" t="s">
        <v>223</v>
      </c>
      <c r="D506" s="287">
        <v>0</v>
      </c>
      <c r="E506" s="285"/>
      <c r="F506" s="285"/>
      <c r="G506" s="628">
        <v>20200</v>
      </c>
      <c r="H506" s="5">
        <f>SUM(G501:G506)</f>
        <v>230482</v>
      </c>
    </row>
    <row r="507" spans="1:8" x14ac:dyDescent="0.25">
      <c r="A507" s="745">
        <v>46092</v>
      </c>
      <c r="B507" s="67" t="s">
        <v>960</v>
      </c>
      <c r="C507" s="67" t="s">
        <v>167</v>
      </c>
      <c r="D507" s="173">
        <v>0</v>
      </c>
      <c r="E507" s="61"/>
      <c r="F507" s="61"/>
      <c r="G507" s="66">
        <v>50499</v>
      </c>
    </row>
    <row r="508" spans="1:8" x14ac:dyDescent="0.25">
      <c r="A508" s="746">
        <v>46093</v>
      </c>
      <c r="B508" s="406" t="s">
        <v>970</v>
      </c>
      <c r="C508" s="406" t="s">
        <v>729</v>
      </c>
      <c r="D508" s="172">
        <v>0</v>
      </c>
      <c r="E508" s="61"/>
      <c r="F508" s="61"/>
      <c r="G508" s="66">
        <v>50500</v>
      </c>
    </row>
    <row r="509" spans="1:8" x14ac:dyDescent="0.25">
      <c r="A509" s="746">
        <v>46094</v>
      </c>
      <c r="B509" s="65" t="s">
        <v>976</v>
      </c>
      <c r="C509" s="65" t="s">
        <v>46</v>
      </c>
      <c r="D509" s="172">
        <v>0</v>
      </c>
      <c r="E509" s="326"/>
      <c r="F509" s="326"/>
      <c r="G509" s="66">
        <v>48480</v>
      </c>
    </row>
    <row r="510" spans="1:8" x14ac:dyDescent="0.25">
      <c r="A510" s="411">
        <v>46096</v>
      </c>
      <c r="B510" s="436" t="s">
        <v>986</v>
      </c>
      <c r="C510" s="436" t="s">
        <v>985</v>
      </c>
      <c r="D510" s="222">
        <v>0</v>
      </c>
      <c r="E510" s="326"/>
      <c r="F510" s="326"/>
      <c r="G510" s="66">
        <v>15150</v>
      </c>
    </row>
    <row r="511" spans="1:8" x14ac:dyDescent="0.25">
      <c r="A511" s="411">
        <v>46097</v>
      </c>
      <c r="B511" s="406" t="s">
        <v>987</v>
      </c>
      <c r="C511" s="406" t="s">
        <v>538</v>
      </c>
      <c r="D511" s="222">
        <v>0</v>
      </c>
      <c r="E511" s="326"/>
      <c r="F511" s="326"/>
      <c r="G511" s="66">
        <v>24240</v>
      </c>
    </row>
    <row r="512" spans="1:8" x14ac:dyDescent="0.25">
      <c r="A512" s="411">
        <v>46097</v>
      </c>
      <c r="B512" s="406" t="s">
        <v>988</v>
      </c>
      <c r="C512" s="406" t="s">
        <v>538</v>
      </c>
      <c r="D512" s="222">
        <v>0</v>
      </c>
      <c r="E512" s="326"/>
      <c r="F512" s="326"/>
      <c r="G512" s="66">
        <v>24240</v>
      </c>
    </row>
    <row r="513" spans="1:8" x14ac:dyDescent="0.25">
      <c r="A513" s="411">
        <v>46099</v>
      </c>
      <c r="B513" s="67" t="s">
        <v>999</v>
      </c>
      <c r="C513" s="67" t="s">
        <v>135</v>
      </c>
      <c r="D513" s="173">
        <v>0</v>
      </c>
      <c r="E513" s="326"/>
      <c r="F513" s="326"/>
      <c r="G513" s="66">
        <v>24240</v>
      </c>
      <c r="H513" s="5">
        <f>SUM(G507:G513)</f>
        <v>237349</v>
      </c>
    </row>
    <row r="514" spans="1:8" x14ac:dyDescent="0.25">
      <c r="A514" s="747">
        <v>46093</v>
      </c>
      <c r="B514" s="748" t="s">
        <v>967</v>
      </c>
      <c r="C514" s="748" t="s">
        <v>310</v>
      </c>
      <c r="D514" s="749"/>
      <c r="E514" s="119"/>
      <c r="F514" s="119"/>
      <c r="G514" s="750">
        <v>37875</v>
      </c>
      <c r="H514" s="18">
        <v>37875</v>
      </c>
    </row>
    <row r="515" spans="1:8" x14ac:dyDescent="0.25">
      <c r="A515" s="751">
        <v>46097</v>
      </c>
      <c r="B515" s="653" t="s">
        <v>989</v>
      </c>
      <c r="C515" s="653" t="s">
        <v>807</v>
      </c>
      <c r="D515" s="650">
        <v>0</v>
      </c>
      <c r="E515" s="640"/>
      <c r="F515" s="640"/>
      <c r="G515" s="647">
        <v>39592</v>
      </c>
      <c r="H515">
        <v>39592</v>
      </c>
    </row>
    <row r="516" spans="1:8" x14ac:dyDescent="0.25">
      <c r="A516" s="752">
        <v>46095</v>
      </c>
      <c r="B516" s="211" t="s">
        <v>979</v>
      </c>
      <c r="C516" s="211" t="s">
        <v>86</v>
      </c>
      <c r="D516" s="753">
        <v>0</v>
      </c>
      <c r="E516" s="754"/>
      <c r="F516" s="754"/>
      <c r="G516" s="755">
        <v>1005960</v>
      </c>
    </row>
    <row r="517" spans="1:8" x14ac:dyDescent="0.25">
      <c r="A517" s="756">
        <v>46099</v>
      </c>
      <c r="B517" s="211" t="s">
        <v>1000</v>
      </c>
      <c r="C517" s="211" t="s">
        <v>135</v>
      </c>
      <c r="D517" s="753">
        <v>0</v>
      </c>
      <c r="E517" s="754"/>
      <c r="F517" s="754"/>
      <c r="G517" s="755">
        <v>65448</v>
      </c>
      <c r="H517" s="5">
        <f>SUM(G516:G517)</f>
        <v>1071408</v>
      </c>
    </row>
    <row r="518" spans="1:8" x14ac:dyDescent="0.25">
      <c r="A518" s="761">
        <v>46105</v>
      </c>
      <c r="B518" s="758" t="s">
        <v>1003</v>
      </c>
      <c r="C518" s="758" t="s">
        <v>1004</v>
      </c>
      <c r="D518" s="762">
        <v>0</v>
      </c>
      <c r="E518" s="730"/>
      <c r="F518" s="730"/>
      <c r="G518" s="760">
        <v>18160</v>
      </c>
    </row>
    <row r="519" spans="1:8" x14ac:dyDescent="0.25">
      <c r="A519" s="757">
        <v>46070</v>
      </c>
      <c r="B519" s="758" t="s">
        <v>840</v>
      </c>
      <c r="C519" s="758" t="s">
        <v>163</v>
      </c>
      <c r="D519" s="759">
        <v>0</v>
      </c>
      <c r="E519" s="499"/>
      <c r="F519" s="499"/>
      <c r="G519" s="760">
        <v>424200</v>
      </c>
      <c r="H519" s="5">
        <f>SUM(G518:G519)</f>
        <v>442360</v>
      </c>
    </row>
    <row r="520" spans="1:8" x14ac:dyDescent="0.25">
      <c r="A520" s="766">
        <v>46107</v>
      </c>
      <c r="B520" s="462" t="s">
        <v>1012</v>
      </c>
      <c r="C520" s="462" t="s">
        <v>538</v>
      </c>
      <c r="D520" s="463">
        <v>0</v>
      </c>
      <c r="E520" s="473"/>
      <c r="F520" s="473"/>
      <c r="G520" s="763">
        <v>208464</v>
      </c>
    </row>
    <row r="521" spans="1:8" x14ac:dyDescent="0.25">
      <c r="A521" s="766">
        <v>46107</v>
      </c>
      <c r="B521" s="767" t="s">
        <v>1013</v>
      </c>
      <c r="C521" s="767" t="s">
        <v>86</v>
      </c>
      <c r="D521" s="769">
        <v>0</v>
      </c>
      <c r="E521" s="473"/>
      <c r="F521" s="473"/>
      <c r="G521" s="763">
        <v>24240</v>
      </c>
    </row>
    <row r="522" spans="1:8" x14ac:dyDescent="0.25">
      <c r="A522" s="766">
        <v>46107</v>
      </c>
      <c r="B522" s="462" t="s">
        <v>1009</v>
      </c>
      <c r="C522" s="462" t="s">
        <v>753</v>
      </c>
      <c r="D522" s="463">
        <v>0</v>
      </c>
      <c r="E522" s="473"/>
      <c r="F522" s="473"/>
      <c r="G522" s="763">
        <v>166860</v>
      </c>
    </row>
    <row r="523" spans="1:8" x14ac:dyDescent="0.25">
      <c r="A523" s="766">
        <v>46106</v>
      </c>
      <c r="B523" s="462" t="s">
        <v>1005</v>
      </c>
      <c r="C523" s="462" t="s">
        <v>147</v>
      </c>
      <c r="D523" s="768">
        <v>0</v>
      </c>
      <c r="E523" s="473"/>
      <c r="F523" s="473"/>
      <c r="G523" s="763">
        <v>16160</v>
      </c>
    </row>
    <row r="524" spans="1:8" x14ac:dyDescent="0.25">
      <c r="A524" s="766">
        <v>46106</v>
      </c>
      <c r="B524" s="767" t="s">
        <v>1006</v>
      </c>
      <c r="C524" s="767" t="s">
        <v>63</v>
      </c>
      <c r="D524" s="768">
        <v>0</v>
      </c>
      <c r="E524" s="473"/>
      <c r="F524" s="473"/>
      <c r="G524" s="763">
        <v>14140</v>
      </c>
    </row>
    <row r="525" spans="1:8" x14ac:dyDescent="0.25">
      <c r="A525" s="464">
        <v>46099</v>
      </c>
      <c r="B525" s="764" t="s">
        <v>1001</v>
      </c>
      <c r="C525" s="764" t="s">
        <v>902</v>
      </c>
      <c r="D525" s="765">
        <v>0</v>
      </c>
      <c r="E525" s="473"/>
      <c r="F525" s="473"/>
      <c r="G525" s="763">
        <v>10000</v>
      </c>
    </row>
    <row r="526" spans="1:8" x14ac:dyDescent="0.25">
      <c r="A526" s="464">
        <v>46096</v>
      </c>
      <c r="B526" s="462" t="s">
        <v>984</v>
      </c>
      <c r="C526" s="462" t="s">
        <v>985</v>
      </c>
      <c r="D526" s="463">
        <v>0</v>
      </c>
      <c r="E526" s="473"/>
      <c r="F526" s="473"/>
      <c r="G526" s="763">
        <v>15150</v>
      </c>
      <c r="H526" s="5">
        <f>SUM(G520:G526)</f>
        <v>455014</v>
      </c>
    </row>
    <row r="527" spans="1:8" x14ac:dyDescent="0.25">
      <c r="A527" s="775">
        <v>46107</v>
      </c>
      <c r="B527" s="771" t="s">
        <v>1011</v>
      </c>
      <c r="C527" s="771" t="s">
        <v>70</v>
      </c>
      <c r="D527" s="772">
        <v>0</v>
      </c>
      <c r="E527" s="777"/>
      <c r="F527" s="777"/>
      <c r="G527" s="774">
        <v>73528</v>
      </c>
    </row>
    <row r="528" spans="1:8" x14ac:dyDescent="0.25">
      <c r="A528" s="775">
        <v>46107</v>
      </c>
      <c r="B528" s="771" t="s">
        <v>1008</v>
      </c>
      <c r="C528" s="771" t="s">
        <v>147</v>
      </c>
      <c r="D528" s="772">
        <v>0</v>
      </c>
      <c r="E528" s="777"/>
      <c r="F528" s="777"/>
      <c r="G528" s="774">
        <v>16160</v>
      </c>
    </row>
    <row r="529" spans="1:8" x14ac:dyDescent="0.25">
      <c r="A529" s="775">
        <v>46100</v>
      </c>
      <c r="B529" s="776" t="s">
        <v>1002</v>
      </c>
      <c r="C529" s="776" t="s">
        <v>135</v>
      </c>
      <c r="D529" s="772">
        <v>0</v>
      </c>
      <c r="E529" s="777"/>
      <c r="F529" s="777"/>
      <c r="G529" s="774">
        <v>43632</v>
      </c>
    </row>
    <row r="530" spans="1:8" x14ac:dyDescent="0.25">
      <c r="A530" s="778">
        <v>46092</v>
      </c>
      <c r="B530" s="779" t="s">
        <v>961</v>
      </c>
      <c r="C530" s="779" t="s">
        <v>283</v>
      </c>
      <c r="D530" s="780">
        <v>0</v>
      </c>
      <c r="E530" s="773"/>
      <c r="F530" s="773"/>
      <c r="G530" s="774">
        <v>18180</v>
      </c>
    </row>
    <row r="531" spans="1:8" x14ac:dyDescent="0.25">
      <c r="A531" s="770">
        <v>46060</v>
      </c>
      <c r="B531" s="771" t="s">
        <v>798</v>
      </c>
      <c r="C531" s="771" t="s">
        <v>799</v>
      </c>
      <c r="D531" s="772">
        <v>0</v>
      </c>
      <c r="E531" s="773"/>
      <c r="F531" s="773"/>
      <c r="G531" s="774">
        <v>15150</v>
      </c>
      <c r="H531" s="5">
        <f>SUM(G527:G531)</f>
        <v>166650</v>
      </c>
    </row>
    <row r="532" spans="1:8" x14ac:dyDescent="0.25">
      <c r="A532" s="781">
        <v>46107</v>
      </c>
      <c r="B532" s="782" t="s">
        <v>1007</v>
      </c>
      <c r="C532" s="782" t="s">
        <v>160</v>
      </c>
      <c r="D532" s="783">
        <v>0</v>
      </c>
      <c r="E532" s="784">
        <v>28278</v>
      </c>
    </row>
    <row r="533" spans="1:8" x14ac:dyDescent="0.25">
      <c r="A533" s="785">
        <v>46097</v>
      </c>
      <c r="B533" s="535" t="s">
        <v>990</v>
      </c>
      <c r="C533" s="535" t="s">
        <v>86</v>
      </c>
      <c r="D533" s="534">
        <v>0</v>
      </c>
      <c r="E533" s="710">
        <v>415898</v>
      </c>
    </row>
    <row r="534" spans="1:8" x14ac:dyDescent="0.25">
      <c r="A534" s="787">
        <v>46108</v>
      </c>
      <c r="B534" s="535" t="s">
        <v>1016</v>
      </c>
      <c r="C534" s="535" t="s">
        <v>538</v>
      </c>
      <c r="D534" s="534">
        <v>0</v>
      </c>
      <c r="E534" s="710">
        <v>124950</v>
      </c>
    </row>
    <row r="535" spans="1:8" x14ac:dyDescent="0.25">
      <c r="A535" s="788">
        <v>46110</v>
      </c>
      <c r="B535" s="531" t="s">
        <v>1018</v>
      </c>
      <c r="C535" s="531" t="s">
        <v>538</v>
      </c>
      <c r="D535" s="789">
        <v>0</v>
      </c>
      <c r="E535" s="710">
        <v>24241</v>
      </c>
      <c r="F535" s="5">
        <f>SUM(E533:E535)</f>
        <v>565089</v>
      </c>
    </row>
    <row r="536" spans="1:8" x14ac:dyDescent="0.25">
      <c r="A536" s="794">
        <v>46111</v>
      </c>
      <c r="B536" s="791" t="s">
        <v>1020</v>
      </c>
      <c r="C536" s="791" t="s">
        <v>1021</v>
      </c>
      <c r="D536" s="792">
        <v>0</v>
      </c>
      <c r="E536" s="793">
        <v>1014054</v>
      </c>
    </row>
    <row r="537" spans="1:8" x14ac:dyDescent="0.25">
      <c r="A537" s="790">
        <v>46107</v>
      </c>
      <c r="B537" s="791" t="s">
        <v>1010</v>
      </c>
      <c r="C537" s="791" t="s">
        <v>135</v>
      </c>
      <c r="D537" s="792">
        <v>0</v>
      </c>
      <c r="E537" s="793">
        <v>26664</v>
      </c>
    </row>
    <row r="538" spans="1:8" x14ac:dyDescent="0.25">
      <c r="A538" s="790">
        <v>46108</v>
      </c>
      <c r="B538" s="791" t="s">
        <v>1014</v>
      </c>
      <c r="C538" s="791" t="s">
        <v>1015</v>
      </c>
      <c r="D538" s="792">
        <v>0</v>
      </c>
      <c r="E538" s="793">
        <v>20199</v>
      </c>
      <c r="F538" s="5">
        <f>SUM(E536:E538)</f>
        <v>1060917</v>
      </c>
    </row>
    <row r="539" spans="1:8" x14ac:dyDescent="0.25">
      <c r="A539" s="795">
        <v>46109</v>
      </c>
      <c r="B539" s="796" t="s">
        <v>1017</v>
      </c>
      <c r="C539" s="796" t="s">
        <v>160</v>
      </c>
      <c r="D539" s="797">
        <v>0</v>
      </c>
      <c r="E539" s="798">
        <v>82012</v>
      </c>
    </row>
    <row r="540" spans="1:8" x14ac:dyDescent="0.25">
      <c r="A540" s="799">
        <v>46111</v>
      </c>
      <c r="B540" s="800" t="s">
        <v>1019</v>
      </c>
      <c r="C540" s="800" t="s">
        <v>809</v>
      </c>
      <c r="D540" s="797">
        <v>0</v>
      </c>
      <c r="E540" s="798">
        <v>35552</v>
      </c>
    </row>
    <row r="541" spans="1:8" x14ac:dyDescent="0.25">
      <c r="A541" s="799">
        <v>46111</v>
      </c>
      <c r="B541" s="796" t="s">
        <v>1022</v>
      </c>
      <c r="C541" s="796" t="s">
        <v>1023</v>
      </c>
      <c r="D541" s="797">
        <v>0</v>
      </c>
      <c r="E541" s="798">
        <v>87870</v>
      </c>
    </row>
    <row r="542" spans="1:8" x14ac:dyDescent="0.25">
      <c r="A542" s="795">
        <v>46112</v>
      </c>
      <c r="B542" s="800" t="s">
        <v>1024</v>
      </c>
      <c r="C542" s="800" t="s">
        <v>147</v>
      </c>
      <c r="D542" s="801">
        <v>0</v>
      </c>
      <c r="E542" s="798">
        <v>16161</v>
      </c>
    </row>
    <row r="543" spans="1:8" x14ac:dyDescent="0.25">
      <c r="A543" s="795">
        <v>46112</v>
      </c>
      <c r="B543" s="800" t="s">
        <v>1025</v>
      </c>
      <c r="C543" s="800" t="s">
        <v>1026</v>
      </c>
      <c r="D543" s="802">
        <v>0</v>
      </c>
      <c r="E543" s="798">
        <v>33330</v>
      </c>
    </row>
    <row r="544" spans="1:8" x14ac:dyDescent="0.25">
      <c r="A544" s="795">
        <v>46112</v>
      </c>
      <c r="B544" s="796" t="s">
        <v>1029</v>
      </c>
      <c r="C544" s="796" t="s">
        <v>70</v>
      </c>
      <c r="D544" s="801">
        <v>0</v>
      </c>
      <c r="E544" s="798">
        <v>52520</v>
      </c>
    </row>
    <row r="545" spans="1:6" x14ac:dyDescent="0.25">
      <c r="A545" s="795">
        <v>46113</v>
      </c>
      <c r="B545" s="800" t="s">
        <v>1032</v>
      </c>
      <c r="C545" s="800" t="s">
        <v>135</v>
      </c>
      <c r="D545" s="797">
        <v>0</v>
      </c>
      <c r="E545" s="798">
        <v>24237</v>
      </c>
      <c r="F545" s="5">
        <f>SUM(E539:E545)</f>
        <v>331682</v>
      </c>
    </row>
    <row r="546" spans="1:6" x14ac:dyDescent="0.25">
      <c r="A546" s="702">
        <v>46095</v>
      </c>
      <c r="B546" s="516" t="s">
        <v>980</v>
      </c>
      <c r="C546" s="516" t="s">
        <v>46</v>
      </c>
      <c r="D546" s="318">
        <v>0</v>
      </c>
      <c r="E546" s="704">
        <v>68680</v>
      </c>
    </row>
    <row r="547" spans="1:6" x14ac:dyDescent="0.25">
      <c r="A547" s="803">
        <v>46113</v>
      </c>
      <c r="B547" s="703" t="s">
        <v>1034</v>
      </c>
      <c r="C547" s="703" t="s">
        <v>364</v>
      </c>
      <c r="D547" s="512">
        <v>0</v>
      </c>
      <c r="E547" s="704">
        <v>15150</v>
      </c>
    </row>
    <row r="548" spans="1:6" x14ac:dyDescent="0.25">
      <c r="A548" s="803">
        <v>46114</v>
      </c>
      <c r="B548" s="316" t="s">
        <v>1036</v>
      </c>
      <c r="C548" s="316" t="s">
        <v>60</v>
      </c>
      <c r="D548" s="512">
        <v>0</v>
      </c>
      <c r="E548" s="704">
        <v>45248</v>
      </c>
      <c r="F548" s="5">
        <f>SUM(E546:E548)</f>
        <v>129078</v>
      </c>
    </row>
    <row r="549" spans="1:6" x14ac:dyDescent="0.25">
      <c r="A549" s="805">
        <v>46114</v>
      </c>
      <c r="B549" s="226" t="s">
        <v>1037</v>
      </c>
      <c r="C549" s="226" t="s">
        <v>1038</v>
      </c>
      <c r="D549" s="227">
        <v>0</v>
      </c>
      <c r="E549" s="152">
        <v>37876</v>
      </c>
    </row>
    <row r="550" spans="1:6" x14ac:dyDescent="0.25">
      <c r="A550" s="805">
        <v>46114</v>
      </c>
      <c r="B550" s="226" t="s">
        <v>1041</v>
      </c>
      <c r="C550" s="226" t="s">
        <v>1042</v>
      </c>
      <c r="D550" s="227">
        <v>0</v>
      </c>
      <c r="E550" s="152">
        <v>16160</v>
      </c>
    </row>
    <row r="551" spans="1:6" x14ac:dyDescent="0.25">
      <c r="A551" s="635">
        <v>46088</v>
      </c>
      <c r="B551" s="226" t="s">
        <v>936</v>
      </c>
      <c r="C551" s="226" t="s">
        <v>147</v>
      </c>
      <c r="D551" s="804">
        <v>0</v>
      </c>
      <c r="E551" s="245">
        <v>77568</v>
      </c>
      <c r="F551" s="5">
        <f>SUM(E549:E551)</f>
        <v>131604</v>
      </c>
    </row>
    <row r="552" spans="1:6" x14ac:dyDescent="0.25">
      <c r="A552" s="806">
        <v>46114</v>
      </c>
      <c r="B552" s="807" t="s">
        <v>1039</v>
      </c>
      <c r="C552" s="807" t="s">
        <v>1040</v>
      </c>
      <c r="D552" s="808">
        <v>0</v>
      </c>
      <c r="E552" s="810">
        <v>44440</v>
      </c>
    </row>
    <row r="553" spans="1:6" x14ac:dyDescent="0.25">
      <c r="A553" s="811">
        <v>46118</v>
      </c>
      <c r="B553" s="807" t="s">
        <v>1049</v>
      </c>
      <c r="C553" s="807" t="s">
        <v>1050</v>
      </c>
      <c r="D553" s="808">
        <v>0</v>
      </c>
      <c r="E553" s="810">
        <v>16160</v>
      </c>
    </row>
    <row r="554" spans="1:6" x14ac:dyDescent="0.25">
      <c r="A554" s="811">
        <v>46118</v>
      </c>
      <c r="B554" s="807" t="s">
        <v>1054</v>
      </c>
      <c r="C554" s="807" t="s">
        <v>1050</v>
      </c>
      <c r="D554" s="808">
        <v>0</v>
      </c>
      <c r="E554" s="810">
        <v>70296</v>
      </c>
    </row>
    <row r="555" spans="1:6" x14ac:dyDescent="0.25">
      <c r="A555" s="811">
        <v>46118</v>
      </c>
      <c r="B555" s="807" t="s">
        <v>1058</v>
      </c>
      <c r="C555" s="807" t="s">
        <v>1021</v>
      </c>
      <c r="D555" s="808">
        <v>0</v>
      </c>
      <c r="E555" s="809">
        <v>401442</v>
      </c>
      <c r="F555" s="810">
        <v>0</v>
      </c>
    </row>
    <row r="556" spans="1:6" x14ac:dyDescent="0.25">
      <c r="A556" s="806">
        <v>46113</v>
      </c>
      <c r="B556" s="807" t="s">
        <v>1030</v>
      </c>
      <c r="C556" s="807" t="s">
        <v>1031</v>
      </c>
      <c r="D556" s="808">
        <v>0</v>
      </c>
      <c r="E556" s="810">
        <v>356025</v>
      </c>
    </row>
    <row r="557" spans="1:6" x14ac:dyDescent="0.25">
      <c r="A557" s="806">
        <v>46113</v>
      </c>
      <c r="B557" s="807" t="s">
        <v>1033</v>
      </c>
      <c r="C557" s="807" t="s">
        <v>364</v>
      </c>
      <c r="D557" s="808">
        <v>0</v>
      </c>
      <c r="E557" s="810">
        <v>27270</v>
      </c>
      <c r="F557" s="5">
        <f>SUM(E552:E557)</f>
        <v>915633</v>
      </c>
    </row>
    <row r="558" spans="1:6" x14ac:dyDescent="0.25">
      <c r="A558" s="819">
        <v>46118</v>
      </c>
      <c r="B558" s="813" t="s">
        <v>1052</v>
      </c>
      <c r="C558" s="813" t="s">
        <v>1050</v>
      </c>
      <c r="D558" s="822">
        <v>0</v>
      </c>
      <c r="E558" s="815"/>
      <c r="F558" s="815">
        <v>16160</v>
      </c>
    </row>
    <row r="559" spans="1:6" x14ac:dyDescent="0.25">
      <c r="A559" s="819">
        <v>46118</v>
      </c>
      <c r="B559" s="813" t="s">
        <v>1053</v>
      </c>
      <c r="C559" s="813" t="s">
        <v>1050</v>
      </c>
      <c r="D559" s="822">
        <v>0</v>
      </c>
      <c r="E559" s="815"/>
      <c r="F559" s="815">
        <v>26664</v>
      </c>
    </row>
    <row r="560" spans="1:6" x14ac:dyDescent="0.25">
      <c r="A560" s="812">
        <v>46116</v>
      </c>
      <c r="B560" s="813" t="s">
        <v>1046</v>
      </c>
      <c r="C560" s="813" t="s">
        <v>1031</v>
      </c>
      <c r="D560" s="818">
        <v>0</v>
      </c>
      <c r="E560" s="815"/>
      <c r="F560" s="815">
        <v>75750</v>
      </c>
    </row>
    <row r="561" spans="1:7" x14ac:dyDescent="0.25">
      <c r="A561" s="812">
        <v>46116</v>
      </c>
      <c r="B561" s="813" t="s">
        <v>1047</v>
      </c>
      <c r="C561" s="813" t="s">
        <v>231</v>
      </c>
      <c r="D561" s="817">
        <v>0</v>
      </c>
      <c r="E561" s="815"/>
      <c r="F561" s="815">
        <v>52520</v>
      </c>
    </row>
    <row r="562" spans="1:7" x14ac:dyDescent="0.25">
      <c r="A562" s="812">
        <v>46112</v>
      </c>
      <c r="B562" s="813" t="s">
        <v>1028</v>
      </c>
      <c r="C562" s="813" t="s">
        <v>70</v>
      </c>
      <c r="D562" s="814">
        <v>0</v>
      </c>
      <c r="E562" s="815"/>
      <c r="F562" s="815">
        <v>14140</v>
      </c>
    </row>
    <row r="563" spans="1:7" x14ac:dyDescent="0.25">
      <c r="A563" s="819">
        <v>46118</v>
      </c>
      <c r="B563" s="820" t="s">
        <v>1059</v>
      </c>
      <c r="C563" s="820" t="s">
        <v>1021</v>
      </c>
      <c r="D563" s="821">
        <v>0</v>
      </c>
      <c r="E563" s="815"/>
      <c r="F563" s="815">
        <v>172104</v>
      </c>
      <c r="G563" s="5">
        <f>SUM(F558:F563)</f>
        <v>357338</v>
      </c>
    </row>
    <row r="564" spans="1:7" x14ac:dyDescent="0.25">
      <c r="A564" s="823">
        <v>46112</v>
      </c>
      <c r="B564" s="824" t="s">
        <v>1027</v>
      </c>
      <c r="C564" s="824" t="s">
        <v>70</v>
      </c>
      <c r="D564" s="825">
        <v>0</v>
      </c>
      <c r="E564" s="826">
        <v>40401</v>
      </c>
    </row>
    <row r="565" spans="1:7" x14ac:dyDescent="0.25">
      <c r="A565" s="823">
        <v>46115</v>
      </c>
      <c r="B565" s="827" t="s">
        <v>1044</v>
      </c>
      <c r="C565" s="827" t="s">
        <v>1045</v>
      </c>
      <c r="D565" s="828">
        <v>0</v>
      </c>
      <c r="E565" s="826">
        <v>161196</v>
      </c>
    </row>
    <row r="566" spans="1:7" x14ac:dyDescent="0.25">
      <c r="A566" s="829">
        <v>46116</v>
      </c>
      <c r="B566" s="827" t="s">
        <v>1048</v>
      </c>
      <c r="C566" s="827" t="s">
        <v>46</v>
      </c>
      <c r="D566" s="830">
        <v>0</v>
      </c>
      <c r="E566" s="826">
        <v>169680</v>
      </c>
    </row>
    <row r="567" spans="1:7" x14ac:dyDescent="0.25">
      <c r="A567" s="831">
        <v>46118</v>
      </c>
      <c r="B567" s="824" t="s">
        <v>1056</v>
      </c>
      <c r="C567" s="824" t="s">
        <v>1050</v>
      </c>
      <c r="D567" s="828">
        <v>0</v>
      </c>
      <c r="E567" s="826">
        <v>16160</v>
      </c>
    </row>
    <row r="568" spans="1:7" ht="15.75" thickBot="1" x14ac:dyDescent="0.3">
      <c r="A568" s="823">
        <v>46120</v>
      </c>
      <c r="B568" s="824" t="s">
        <v>1064</v>
      </c>
      <c r="C568" s="824" t="s">
        <v>46</v>
      </c>
      <c r="D568" s="828">
        <v>0</v>
      </c>
      <c r="E568" s="826">
        <v>155136</v>
      </c>
    </row>
    <row r="569" spans="1:7" ht="15.75" thickBot="1" x14ac:dyDescent="0.3">
      <c r="B569" s="832" t="s">
        <v>1103</v>
      </c>
      <c r="E569" s="833">
        <v>252096</v>
      </c>
      <c r="F569" s="5">
        <f>SUM(E564:E569)</f>
        <v>794669</v>
      </c>
    </row>
    <row r="570" spans="1:7" x14ac:dyDescent="0.25">
      <c r="A570" s="834">
        <v>46118</v>
      </c>
      <c r="B570" s="696" t="s">
        <v>1051</v>
      </c>
      <c r="C570" s="696" t="s">
        <v>1050</v>
      </c>
      <c r="D570" s="698">
        <v>0</v>
      </c>
      <c r="E570" s="694">
        <v>14140</v>
      </c>
    </row>
    <row r="571" spans="1:7" x14ac:dyDescent="0.25">
      <c r="A571" s="834">
        <v>46118</v>
      </c>
      <c r="B571" s="696" t="s">
        <v>1057</v>
      </c>
      <c r="C571" s="696" t="s">
        <v>1021</v>
      </c>
      <c r="D571" s="698">
        <v>0</v>
      </c>
      <c r="E571" s="694">
        <v>221046</v>
      </c>
    </row>
    <row r="572" spans="1:7" x14ac:dyDescent="0.25">
      <c r="A572" s="835">
        <v>46120</v>
      </c>
      <c r="B572" s="696" t="s">
        <v>1061</v>
      </c>
      <c r="C572" s="696" t="s">
        <v>1062</v>
      </c>
      <c r="D572" s="698">
        <v>0</v>
      </c>
      <c r="E572" s="694">
        <v>28280</v>
      </c>
    </row>
    <row r="573" spans="1:7" x14ac:dyDescent="0.25">
      <c r="A573" s="835">
        <v>46120</v>
      </c>
      <c r="B573" s="700" t="s">
        <v>1065</v>
      </c>
      <c r="C573" s="700" t="s">
        <v>160</v>
      </c>
      <c r="D573" s="701">
        <v>0</v>
      </c>
      <c r="E573" s="694">
        <v>28278</v>
      </c>
      <c r="F573" s="5">
        <f>SUM(E570:E573)</f>
        <v>291744</v>
      </c>
    </row>
    <row r="574" spans="1:7" x14ac:dyDescent="0.25">
      <c r="A574" s="823">
        <v>46121</v>
      </c>
      <c r="B574" s="824" t="s">
        <v>1069</v>
      </c>
      <c r="C574" s="824" t="s">
        <v>1021</v>
      </c>
      <c r="D574" s="828">
        <v>0</v>
      </c>
      <c r="E574" s="826">
        <v>542879</v>
      </c>
    </row>
    <row r="575" spans="1:7" x14ac:dyDescent="0.25">
      <c r="A575" s="823">
        <v>46121</v>
      </c>
      <c r="B575" s="827" t="s">
        <v>1070</v>
      </c>
      <c r="C575" s="827" t="s">
        <v>727</v>
      </c>
      <c r="D575" s="836">
        <v>0</v>
      </c>
      <c r="E575" s="826">
        <v>24240</v>
      </c>
    </row>
    <row r="576" spans="1:7" x14ac:dyDescent="0.25">
      <c r="A576" s="823">
        <v>46121</v>
      </c>
      <c r="B576" s="824" t="s">
        <v>1066</v>
      </c>
      <c r="C576" s="824" t="s">
        <v>307</v>
      </c>
      <c r="D576" s="828">
        <v>0</v>
      </c>
      <c r="E576" s="826">
        <v>15150</v>
      </c>
    </row>
    <row r="577" spans="1:6" x14ac:dyDescent="0.25">
      <c r="B577" s="743" t="s">
        <v>1105</v>
      </c>
      <c r="E577" s="826">
        <v>58176</v>
      </c>
      <c r="F577" s="5">
        <f>SUM(E574:E577)</f>
        <v>640445</v>
      </c>
    </row>
    <row r="578" spans="1:6" x14ac:dyDescent="0.25">
      <c r="A578" s="799">
        <v>46118</v>
      </c>
      <c r="B578" s="800" t="s">
        <v>1055</v>
      </c>
      <c r="C578" s="800" t="s">
        <v>1050</v>
      </c>
      <c r="D578" s="797">
        <v>0</v>
      </c>
      <c r="E578" s="798">
        <v>18180</v>
      </c>
    </row>
    <row r="579" spans="1:6" x14ac:dyDescent="0.25">
      <c r="A579" s="795">
        <v>46119</v>
      </c>
      <c r="B579" s="796" t="s">
        <v>1060</v>
      </c>
      <c r="C579" s="796" t="s">
        <v>63</v>
      </c>
      <c r="D579" s="837">
        <v>0</v>
      </c>
      <c r="E579" s="798">
        <v>28278</v>
      </c>
    </row>
    <row r="580" spans="1:6" x14ac:dyDescent="0.25">
      <c r="A580" s="795">
        <v>46120</v>
      </c>
      <c r="B580" s="800" t="s">
        <v>1063</v>
      </c>
      <c r="C580" s="800" t="s">
        <v>86</v>
      </c>
      <c r="D580" s="797">
        <v>0</v>
      </c>
      <c r="E580" s="798">
        <v>83325</v>
      </c>
    </row>
    <row r="581" spans="1:6" x14ac:dyDescent="0.25">
      <c r="A581" s="795">
        <v>46121</v>
      </c>
      <c r="B581" s="800" t="s">
        <v>1067</v>
      </c>
      <c r="C581" s="800" t="s">
        <v>1068</v>
      </c>
      <c r="D581" s="797">
        <v>0</v>
      </c>
      <c r="E581" s="798">
        <v>56562</v>
      </c>
    </row>
    <row r="582" spans="1:6" x14ac:dyDescent="0.25">
      <c r="A582" s="795">
        <v>46122</v>
      </c>
      <c r="B582" s="800" t="s">
        <v>1071</v>
      </c>
      <c r="C582" s="800" t="s">
        <v>538</v>
      </c>
      <c r="D582" s="797">
        <v>0</v>
      </c>
      <c r="E582" s="798">
        <v>109080</v>
      </c>
    </row>
    <row r="583" spans="1:6" x14ac:dyDescent="0.25">
      <c r="A583" s="795">
        <v>46122</v>
      </c>
      <c r="B583" s="800" t="s">
        <v>1074</v>
      </c>
      <c r="C583" s="800" t="s">
        <v>1075</v>
      </c>
      <c r="D583" s="797">
        <v>0</v>
      </c>
      <c r="E583" s="798">
        <v>53732</v>
      </c>
    </row>
    <row r="584" spans="1:6" x14ac:dyDescent="0.25">
      <c r="B584" s="742" t="s">
        <v>1119</v>
      </c>
      <c r="E584" s="798">
        <v>14140</v>
      </c>
      <c r="F584" s="5">
        <f>SUM(E578:E584)</f>
        <v>363297</v>
      </c>
    </row>
    <row r="585" spans="1:6" x14ac:dyDescent="0.25">
      <c r="A585" s="781">
        <v>46123</v>
      </c>
      <c r="B585" s="838" t="s">
        <v>1077</v>
      </c>
      <c r="C585" s="838" t="s">
        <v>160</v>
      </c>
      <c r="D585" s="839">
        <v>0</v>
      </c>
      <c r="E585" s="784">
        <v>62216</v>
      </c>
    </row>
    <row r="586" spans="1:6" x14ac:dyDescent="0.25">
      <c r="A586" s="781">
        <v>46122</v>
      </c>
      <c r="B586" s="782" t="s">
        <v>1072</v>
      </c>
      <c r="C586" s="782" t="s">
        <v>1073</v>
      </c>
      <c r="D586" s="783">
        <v>0</v>
      </c>
      <c r="E586" s="784">
        <v>14140</v>
      </c>
    </row>
    <row r="587" spans="1:6" x14ac:dyDescent="0.25">
      <c r="A587" s="781">
        <v>46114</v>
      </c>
      <c r="B587" s="782" t="s">
        <v>1035</v>
      </c>
      <c r="C587" s="782" t="s">
        <v>842</v>
      </c>
      <c r="D587" s="783">
        <v>0</v>
      </c>
      <c r="E587" s="784">
        <v>15150</v>
      </c>
      <c r="F587" s="5">
        <f>SUM(E585:E587)</f>
        <v>91506</v>
      </c>
    </row>
    <row r="588" spans="1:6" x14ac:dyDescent="0.25">
      <c r="A588" s="775">
        <v>46126</v>
      </c>
      <c r="B588" s="771" t="s">
        <v>1081</v>
      </c>
      <c r="C588" s="771" t="s">
        <v>86</v>
      </c>
      <c r="D588" s="772">
        <v>0</v>
      </c>
      <c r="E588" s="774">
        <v>24240</v>
      </c>
    </row>
    <row r="589" spans="1:6" x14ac:dyDescent="0.25">
      <c r="A589" s="775">
        <v>46126</v>
      </c>
      <c r="B589" s="771" t="s">
        <v>1084</v>
      </c>
      <c r="C589" s="771" t="s">
        <v>86</v>
      </c>
      <c r="D589" s="772">
        <v>0</v>
      </c>
      <c r="E589" s="774">
        <v>26664</v>
      </c>
      <c r="F589" s="18">
        <f>SUM(E588:E589)</f>
        <v>50904</v>
      </c>
    </row>
    <row r="590" spans="1:6" x14ac:dyDescent="0.25">
      <c r="A590" s="840">
        <v>46127</v>
      </c>
      <c r="B590" s="286" t="s">
        <v>1092</v>
      </c>
      <c r="C590" s="286" t="s">
        <v>1093</v>
      </c>
      <c r="D590" s="287">
        <v>0</v>
      </c>
      <c r="E590" s="628">
        <v>106656</v>
      </c>
    </row>
    <row r="591" spans="1:6" x14ac:dyDescent="0.25">
      <c r="A591" s="840">
        <v>46127</v>
      </c>
      <c r="B591" s="728" t="s">
        <v>1094</v>
      </c>
      <c r="C591" s="728" t="s">
        <v>70</v>
      </c>
      <c r="D591" s="841">
        <v>0</v>
      </c>
      <c r="E591" s="628">
        <v>14140</v>
      </c>
    </row>
    <row r="592" spans="1:6" x14ac:dyDescent="0.25">
      <c r="A592" s="840">
        <v>46126</v>
      </c>
      <c r="B592" s="286" t="s">
        <v>1082</v>
      </c>
      <c r="C592" s="286" t="s">
        <v>86</v>
      </c>
      <c r="D592" s="287">
        <v>0</v>
      </c>
      <c r="E592" s="628">
        <v>36360</v>
      </c>
    </row>
    <row r="593" spans="1:6" x14ac:dyDescent="0.25">
      <c r="A593" s="840">
        <v>46122</v>
      </c>
      <c r="B593" s="728" t="s">
        <v>1076</v>
      </c>
      <c r="C593" s="728" t="s">
        <v>147</v>
      </c>
      <c r="D593" s="841">
        <v>0</v>
      </c>
      <c r="E593" s="628">
        <v>34340</v>
      </c>
      <c r="F593" s="18">
        <f>SUM(E590:E593)</f>
        <v>191496</v>
      </c>
    </row>
    <row r="594" spans="1:6" x14ac:dyDescent="0.25">
      <c r="A594" s="775">
        <v>46124</v>
      </c>
      <c r="B594" s="776" t="s">
        <v>1078</v>
      </c>
      <c r="C594" s="776" t="s">
        <v>1079</v>
      </c>
      <c r="D594" s="858"/>
      <c r="E594" s="774">
        <v>37876</v>
      </c>
    </row>
    <row r="595" spans="1:6" x14ac:dyDescent="0.25">
      <c r="A595" s="775">
        <v>46126</v>
      </c>
      <c r="B595" s="771" t="s">
        <v>1080</v>
      </c>
      <c r="C595" s="771" t="s">
        <v>585</v>
      </c>
      <c r="D595" s="772">
        <v>0</v>
      </c>
      <c r="E595" s="772">
        <v>96960</v>
      </c>
    </row>
    <row r="596" spans="1:6" x14ac:dyDescent="0.25">
      <c r="A596" s="775">
        <v>46126</v>
      </c>
      <c r="B596" s="771" t="s">
        <v>1083</v>
      </c>
      <c r="C596" s="771" t="s">
        <v>86</v>
      </c>
      <c r="D596" s="772">
        <v>0</v>
      </c>
      <c r="E596" s="772">
        <v>31512</v>
      </c>
    </row>
    <row r="597" spans="1:6" x14ac:dyDescent="0.25">
      <c r="A597" s="775">
        <v>46126</v>
      </c>
      <c r="B597" s="776" t="s">
        <v>1085</v>
      </c>
      <c r="C597" s="776" t="s">
        <v>86</v>
      </c>
      <c r="D597" s="859">
        <v>0</v>
      </c>
      <c r="E597" s="859">
        <v>26664</v>
      </c>
    </row>
    <row r="598" spans="1:6" x14ac:dyDescent="0.25">
      <c r="A598" s="775">
        <v>46127</v>
      </c>
      <c r="B598" s="771" t="s">
        <v>1086</v>
      </c>
      <c r="C598" s="771" t="s">
        <v>60</v>
      </c>
      <c r="D598" s="772">
        <v>0</v>
      </c>
      <c r="E598" s="772">
        <v>56560</v>
      </c>
    </row>
    <row r="599" spans="1:6" x14ac:dyDescent="0.25">
      <c r="A599" s="775">
        <v>46127</v>
      </c>
      <c r="B599" s="771" t="s">
        <v>1087</v>
      </c>
      <c r="C599" s="771" t="s">
        <v>462</v>
      </c>
      <c r="D599" s="772">
        <v>0</v>
      </c>
      <c r="E599" s="772">
        <v>31108</v>
      </c>
    </row>
    <row r="600" spans="1:6" x14ac:dyDescent="0.25">
      <c r="A600" s="775">
        <v>46127</v>
      </c>
      <c r="B600" s="771" t="s">
        <v>1088</v>
      </c>
      <c r="C600" s="771" t="s">
        <v>1089</v>
      </c>
      <c r="D600" s="772">
        <v>0</v>
      </c>
      <c r="E600" s="772">
        <v>50499</v>
      </c>
    </row>
    <row r="601" spans="1:6" x14ac:dyDescent="0.25">
      <c r="A601" s="775">
        <v>46128</v>
      </c>
      <c r="B601" s="771" t="s">
        <v>1097</v>
      </c>
      <c r="C601" s="771" t="s">
        <v>1026</v>
      </c>
      <c r="D601" s="772">
        <v>0</v>
      </c>
      <c r="E601" s="772">
        <v>792363</v>
      </c>
    </row>
    <row r="602" spans="1:6" x14ac:dyDescent="0.25">
      <c r="A602" s="775">
        <v>46128</v>
      </c>
      <c r="B602" s="776" t="s">
        <v>1101</v>
      </c>
      <c r="C602" s="776" t="s">
        <v>538</v>
      </c>
      <c r="D602" s="859">
        <v>0</v>
      </c>
      <c r="E602" s="859">
        <v>170144</v>
      </c>
    </row>
    <row r="603" spans="1:6" x14ac:dyDescent="0.25">
      <c r="A603" s="775">
        <v>46129</v>
      </c>
      <c r="B603" s="771" t="s">
        <v>1106</v>
      </c>
      <c r="C603" s="771" t="s">
        <v>1107</v>
      </c>
      <c r="D603" s="772"/>
      <c r="E603" s="772">
        <v>28278</v>
      </c>
    </row>
    <row r="604" spans="1:6" x14ac:dyDescent="0.25">
      <c r="A604" s="775">
        <v>46129</v>
      </c>
      <c r="B604" s="771" t="s">
        <v>1108</v>
      </c>
      <c r="C604" s="771" t="s">
        <v>86</v>
      </c>
      <c r="D604" s="772"/>
      <c r="E604" s="772">
        <v>177255</v>
      </c>
    </row>
    <row r="605" spans="1:6" x14ac:dyDescent="0.25">
      <c r="A605" s="860"/>
      <c r="B605" s="861" t="s">
        <v>1226</v>
      </c>
      <c r="C605" s="860"/>
      <c r="D605" s="860"/>
      <c r="E605" s="862">
        <v>14140</v>
      </c>
      <c r="F605" s="5">
        <f>SUM(E594:E605)</f>
        <v>1513359</v>
      </c>
    </row>
    <row r="606" spans="1:6" x14ac:dyDescent="0.25">
      <c r="A606" s="805">
        <v>46114</v>
      </c>
      <c r="B606" s="863" t="s">
        <v>1043</v>
      </c>
      <c r="C606" s="863" t="s">
        <v>46</v>
      </c>
      <c r="D606" s="864">
        <v>0</v>
      </c>
      <c r="E606" s="864">
        <v>96000</v>
      </c>
      <c r="F606" s="18"/>
    </row>
    <row r="607" spans="1:6" x14ac:dyDescent="0.25">
      <c r="A607" s="805">
        <v>46128</v>
      </c>
      <c r="B607" s="226" t="s">
        <v>1095</v>
      </c>
      <c r="C607" s="226" t="s">
        <v>86</v>
      </c>
      <c r="D607" s="227">
        <v>0</v>
      </c>
      <c r="E607" s="227">
        <v>83325</v>
      </c>
    </row>
    <row r="608" spans="1:6" x14ac:dyDescent="0.25">
      <c r="A608" s="805">
        <v>46128</v>
      </c>
      <c r="B608" s="226" t="s">
        <v>1096</v>
      </c>
      <c r="C608" s="226" t="s">
        <v>181</v>
      </c>
      <c r="D608" s="227">
        <v>0</v>
      </c>
      <c r="E608" s="227">
        <v>33936</v>
      </c>
    </row>
    <row r="609" spans="1:6" x14ac:dyDescent="0.25">
      <c r="A609" s="805">
        <v>46128</v>
      </c>
      <c r="B609" s="226" t="s">
        <v>1098</v>
      </c>
      <c r="C609" s="226" t="s">
        <v>86</v>
      </c>
      <c r="D609" s="227"/>
      <c r="E609" s="152">
        <v>489364</v>
      </c>
    </row>
    <row r="610" spans="1:6" x14ac:dyDescent="0.25">
      <c r="A610" s="805">
        <v>46128</v>
      </c>
      <c r="B610" s="226" t="s">
        <v>1099</v>
      </c>
      <c r="C610" s="226" t="s">
        <v>86</v>
      </c>
      <c r="D610" s="227">
        <v>0</v>
      </c>
      <c r="E610" s="227">
        <v>37875</v>
      </c>
    </row>
    <row r="611" spans="1:6" x14ac:dyDescent="0.25">
      <c r="A611" s="805">
        <v>46129</v>
      </c>
      <c r="B611" s="226" t="s">
        <v>1109</v>
      </c>
      <c r="C611" s="226" t="s">
        <v>86</v>
      </c>
      <c r="D611" s="227">
        <v>0</v>
      </c>
      <c r="E611" s="227">
        <v>83325</v>
      </c>
    </row>
    <row r="612" spans="1:6" x14ac:dyDescent="0.25">
      <c r="A612" s="805">
        <v>46129</v>
      </c>
      <c r="B612" s="226" t="s">
        <v>1110</v>
      </c>
      <c r="C612" s="226" t="s">
        <v>70</v>
      </c>
      <c r="D612" s="227">
        <v>0</v>
      </c>
      <c r="E612" s="227">
        <v>28280</v>
      </c>
    </row>
    <row r="613" spans="1:6" x14ac:dyDescent="0.25">
      <c r="A613" s="805">
        <v>46130</v>
      </c>
      <c r="B613" s="226" t="s">
        <v>1111</v>
      </c>
      <c r="C613" s="226" t="s">
        <v>1112</v>
      </c>
      <c r="D613" s="227">
        <v>0</v>
      </c>
      <c r="E613" s="227">
        <v>48480</v>
      </c>
    </row>
    <row r="614" spans="1:6" x14ac:dyDescent="0.25">
      <c r="A614" s="805">
        <v>46130</v>
      </c>
      <c r="B614" s="226" t="s">
        <v>1113</v>
      </c>
      <c r="C614" s="226" t="s">
        <v>1114</v>
      </c>
      <c r="D614" s="227">
        <v>0</v>
      </c>
      <c r="E614" s="227">
        <v>14140</v>
      </c>
    </row>
    <row r="615" spans="1:6" x14ac:dyDescent="0.25">
      <c r="A615" s="805">
        <v>46130</v>
      </c>
      <c r="B615" s="441" t="s">
        <v>1118</v>
      </c>
      <c r="C615" s="441" t="s">
        <v>86</v>
      </c>
      <c r="D615" s="227">
        <v>0</v>
      </c>
      <c r="E615" s="227">
        <v>62216</v>
      </c>
      <c r="F615" s="5">
        <f>SUM(E606:E615)</f>
        <v>976941</v>
      </c>
    </row>
    <row r="616" spans="1:6" x14ac:dyDescent="0.25">
      <c r="A616" s="866">
        <v>46132</v>
      </c>
      <c r="B616" s="872" t="s">
        <v>1185</v>
      </c>
      <c r="C616" s="872" t="s">
        <v>847</v>
      </c>
      <c r="D616" s="873">
        <v>0</v>
      </c>
      <c r="E616" s="873">
        <v>364532</v>
      </c>
    </row>
    <row r="617" spans="1:6" x14ac:dyDescent="0.25">
      <c r="A617" s="866">
        <v>46132</v>
      </c>
      <c r="B617" s="868" t="s">
        <v>1186</v>
      </c>
      <c r="C617" s="868" t="s">
        <v>1187</v>
      </c>
      <c r="D617" s="869"/>
      <c r="E617" s="869">
        <v>69084</v>
      </c>
    </row>
    <row r="618" spans="1:6" x14ac:dyDescent="0.25">
      <c r="A618" s="866">
        <v>46133</v>
      </c>
      <c r="B618" s="868" t="s">
        <v>1188</v>
      </c>
      <c r="C618" s="868" t="s">
        <v>160</v>
      </c>
      <c r="D618" s="869">
        <v>0</v>
      </c>
      <c r="E618" s="869">
        <v>36358</v>
      </c>
    </row>
    <row r="619" spans="1:6" x14ac:dyDescent="0.25">
      <c r="A619" s="866">
        <v>46132</v>
      </c>
      <c r="B619" s="872" t="s">
        <v>1182</v>
      </c>
      <c r="C619" s="872" t="s">
        <v>60</v>
      </c>
      <c r="D619" s="873">
        <v>0</v>
      </c>
      <c r="E619" s="873">
        <v>53732</v>
      </c>
      <c r="F619" s="18"/>
    </row>
    <row r="620" spans="1:6" x14ac:dyDescent="0.25">
      <c r="A620" s="866">
        <v>46130</v>
      </c>
      <c r="B620" s="254" t="s">
        <v>1116</v>
      </c>
      <c r="C620" s="254" t="s">
        <v>842</v>
      </c>
      <c r="D620" s="867">
        <v>0</v>
      </c>
      <c r="E620" s="867">
        <v>26260</v>
      </c>
      <c r="F620" s="18"/>
    </row>
    <row r="621" spans="1:6" x14ac:dyDescent="0.25">
      <c r="A621" s="866">
        <v>46130</v>
      </c>
      <c r="B621" s="254" t="s">
        <v>1117</v>
      </c>
      <c r="C621" s="254" t="s">
        <v>842</v>
      </c>
      <c r="D621" s="867">
        <v>0</v>
      </c>
      <c r="E621" s="867">
        <v>26260</v>
      </c>
      <c r="F621" s="18"/>
    </row>
    <row r="622" spans="1:6" x14ac:dyDescent="0.25">
      <c r="A622" s="595">
        <v>46093</v>
      </c>
      <c r="B622" s="373" t="s">
        <v>971</v>
      </c>
      <c r="C622" s="373" t="s">
        <v>917</v>
      </c>
      <c r="D622" s="865">
        <v>0</v>
      </c>
      <c r="E622" s="865">
        <v>384872</v>
      </c>
    </row>
    <row r="623" spans="1:6" x14ac:dyDescent="0.25">
      <c r="A623" s="866">
        <v>46127</v>
      </c>
      <c r="B623" s="254" t="s">
        <v>1090</v>
      </c>
      <c r="C623" s="254" t="s">
        <v>1091</v>
      </c>
      <c r="D623" s="867">
        <v>0</v>
      </c>
      <c r="E623" s="867">
        <v>196950</v>
      </c>
    </row>
    <row r="624" spans="1:6" x14ac:dyDescent="0.25">
      <c r="A624" s="870"/>
      <c r="B624" s="874" t="s">
        <v>1227</v>
      </c>
      <c r="C624" s="870"/>
      <c r="D624" s="871"/>
      <c r="E624" s="875">
        <v>14140</v>
      </c>
      <c r="F624" s="5">
        <f>SUM(E616:E624)</f>
        <v>1172188</v>
      </c>
    </row>
    <row r="625" spans="1:6" x14ac:dyDescent="0.25">
      <c r="A625" s="902">
        <v>46135</v>
      </c>
      <c r="B625" s="910" t="s">
        <v>1198</v>
      </c>
      <c r="C625" s="911" t="s">
        <v>1199</v>
      </c>
      <c r="D625" s="905">
        <v>0</v>
      </c>
      <c r="E625" s="905">
        <v>24240</v>
      </c>
    </row>
    <row r="626" spans="1:6" x14ac:dyDescent="0.25">
      <c r="A626" s="902">
        <v>46134</v>
      </c>
      <c r="B626" s="903" t="s">
        <v>1194</v>
      </c>
      <c r="C626" s="904" t="s">
        <v>135</v>
      </c>
      <c r="D626" s="905">
        <v>0</v>
      </c>
      <c r="E626" s="905">
        <v>28278</v>
      </c>
      <c r="F626" s="18"/>
    </row>
    <row r="627" spans="1:6" x14ac:dyDescent="0.25">
      <c r="A627" s="902">
        <v>46130</v>
      </c>
      <c r="B627" s="903" t="s">
        <v>1115</v>
      </c>
      <c r="C627" s="904" t="s">
        <v>842</v>
      </c>
      <c r="D627" s="905">
        <v>0</v>
      </c>
      <c r="E627" s="905">
        <v>20199</v>
      </c>
      <c r="F627" s="18"/>
    </row>
    <row r="628" spans="1:6" x14ac:dyDescent="0.25">
      <c r="A628" s="902">
        <v>46132</v>
      </c>
      <c r="B628" s="907" t="s">
        <v>1183</v>
      </c>
      <c r="C628" s="908" t="s">
        <v>1184</v>
      </c>
      <c r="D628" s="909">
        <v>0</v>
      </c>
      <c r="E628" s="909">
        <v>87870</v>
      </c>
      <c r="F628" s="18">
        <f>SUM(E625:E628)</f>
        <v>160587</v>
      </c>
    </row>
    <row r="629" spans="1:6" x14ac:dyDescent="0.25">
      <c r="A629" s="912">
        <v>46135</v>
      </c>
      <c r="B629" s="443" t="s">
        <v>1195</v>
      </c>
      <c r="C629" s="913" t="s">
        <v>63</v>
      </c>
      <c r="D629" s="914">
        <v>0</v>
      </c>
      <c r="E629" s="914">
        <v>14140</v>
      </c>
      <c r="F629" s="5">
        <f>E629</f>
        <v>14140</v>
      </c>
    </row>
    <row r="630" spans="1:6" x14ac:dyDescent="0.25">
      <c r="A630" s="915">
        <v>46136</v>
      </c>
      <c r="B630" s="451" t="s">
        <v>1200</v>
      </c>
      <c r="C630" s="916" t="s">
        <v>48</v>
      </c>
      <c r="D630" s="920">
        <v>0</v>
      </c>
      <c r="E630" s="920">
        <v>24240</v>
      </c>
      <c r="F630" s="18"/>
    </row>
    <row r="631" spans="1:6" x14ac:dyDescent="0.25">
      <c r="A631" s="915">
        <v>46136</v>
      </c>
      <c r="B631" s="918" t="s">
        <v>1202</v>
      </c>
      <c r="C631" s="919" t="s">
        <v>1203</v>
      </c>
      <c r="D631" s="920">
        <v>0</v>
      </c>
      <c r="E631" s="920">
        <v>24240</v>
      </c>
    </row>
    <row r="632" spans="1:6" x14ac:dyDescent="0.25">
      <c r="A632" s="915">
        <v>46134</v>
      </c>
      <c r="B632" s="451" t="s">
        <v>1190</v>
      </c>
      <c r="C632" s="916" t="s">
        <v>842</v>
      </c>
      <c r="D632" s="917">
        <v>0</v>
      </c>
      <c r="E632" s="917">
        <v>20200</v>
      </c>
      <c r="F632" s="18">
        <f>SUM(E630:E632)</f>
        <v>68680</v>
      </c>
    </row>
    <row r="633" spans="1:6" x14ac:dyDescent="0.25">
      <c r="A633" s="812">
        <v>46134</v>
      </c>
      <c r="B633" s="813" t="s">
        <v>1192</v>
      </c>
      <c r="C633" s="921" t="s">
        <v>1193</v>
      </c>
      <c r="D633" s="822">
        <v>0</v>
      </c>
      <c r="E633" s="822">
        <v>210888</v>
      </c>
      <c r="F633" s="18"/>
    </row>
    <row r="634" spans="1:6" x14ac:dyDescent="0.25">
      <c r="A634" s="812">
        <v>46135</v>
      </c>
      <c r="B634" s="813" t="s">
        <v>1196</v>
      </c>
      <c r="C634" s="921" t="s">
        <v>1197</v>
      </c>
      <c r="D634" s="822">
        <v>0</v>
      </c>
      <c r="E634" s="822">
        <v>52521</v>
      </c>
      <c r="F634" s="18"/>
    </row>
    <row r="635" spans="1:6" x14ac:dyDescent="0.25">
      <c r="A635" s="812">
        <v>46137</v>
      </c>
      <c r="B635" s="813" t="s">
        <v>1204</v>
      </c>
      <c r="C635" s="921" t="s">
        <v>147</v>
      </c>
      <c r="D635" s="818">
        <v>0</v>
      </c>
      <c r="E635" s="818">
        <v>16161</v>
      </c>
      <c r="F635" s="18"/>
    </row>
    <row r="636" spans="1:6" x14ac:dyDescent="0.25">
      <c r="A636" s="819">
        <v>46139</v>
      </c>
      <c r="B636" s="922" t="s">
        <v>1214</v>
      </c>
      <c r="C636" s="923" t="s">
        <v>842</v>
      </c>
      <c r="D636" s="818">
        <v>0</v>
      </c>
      <c r="E636" s="818">
        <v>26260</v>
      </c>
      <c r="F636" s="18">
        <f>SUM(E633:E636)</f>
        <v>305830</v>
      </c>
    </row>
    <row r="637" spans="1:6" x14ac:dyDescent="0.25">
      <c r="A637" s="787">
        <v>46137</v>
      </c>
      <c r="B637" s="535" t="s">
        <v>1210</v>
      </c>
      <c r="C637" s="924" t="s">
        <v>517</v>
      </c>
      <c r="D637" s="925">
        <v>0</v>
      </c>
      <c r="E637" s="925">
        <v>96960</v>
      </c>
    </row>
    <row r="638" spans="1:6" x14ac:dyDescent="0.25">
      <c r="A638" s="787">
        <v>46139</v>
      </c>
      <c r="B638" s="711" t="s">
        <v>1212</v>
      </c>
      <c r="C638" s="931" t="s">
        <v>147</v>
      </c>
      <c r="D638" s="712">
        <v>0</v>
      </c>
      <c r="E638" s="712">
        <v>302192</v>
      </c>
      <c r="F638" s="18"/>
    </row>
    <row r="639" spans="1:6" x14ac:dyDescent="0.25">
      <c r="A639" s="787">
        <v>46139</v>
      </c>
      <c r="B639" s="926" t="s">
        <v>1213</v>
      </c>
      <c r="C639" s="927" t="s">
        <v>147</v>
      </c>
      <c r="D639" s="925">
        <v>0</v>
      </c>
      <c r="E639" s="925">
        <v>16161</v>
      </c>
      <c r="F639" s="18"/>
    </row>
    <row r="640" spans="1:6" x14ac:dyDescent="0.25">
      <c r="A640" s="785">
        <v>46140</v>
      </c>
      <c r="B640" s="926" t="s">
        <v>1215</v>
      </c>
      <c r="C640" s="927" t="s">
        <v>63</v>
      </c>
      <c r="D640" s="534">
        <v>0</v>
      </c>
      <c r="E640" s="534">
        <v>14139</v>
      </c>
    </row>
    <row r="641" spans="1:6" x14ac:dyDescent="0.25">
      <c r="A641" s="785">
        <v>46140</v>
      </c>
      <c r="B641" s="926" t="s">
        <v>1216</v>
      </c>
      <c r="C641" s="927" t="s">
        <v>46</v>
      </c>
      <c r="D641" s="534">
        <v>0</v>
      </c>
      <c r="E641" s="534">
        <v>24240</v>
      </c>
    </row>
    <row r="642" spans="1:6" x14ac:dyDescent="0.25">
      <c r="A642" s="785">
        <v>46141</v>
      </c>
      <c r="B642" s="535" t="s">
        <v>1218</v>
      </c>
      <c r="C642" s="924" t="s">
        <v>1219</v>
      </c>
      <c r="D642" s="712">
        <v>0</v>
      </c>
      <c r="E642" s="712">
        <v>27270</v>
      </c>
      <c r="F642" s="18"/>
    </row>
    <row r="643" spans="1:6" x14ac:dyDescent="0.25">
      <c r="A643" s="785">
        <v>46141</v>
      </c>
      <c r="B643" s="535" t="s">
        <v>1221</v>
      </c>
      <c r="C643" s="924" t="s">
        <v>60</v>
      </c>
      <c r="D643" s="925">
        <v>0</v>
      </c>
      <c r="E643" s="925">
        <v>14139</v>
      </c>
    </row>
    <row r="644" spans="1:6" x14ac:dyDescent="0.25">
      <c r="A644" s="785">
        <v>46141</v>
      </c>
      <c r="B644" s="535" t="s">
        <v>1222</v>
      </c>
      <c r="C644" s="924" t="s">
        <v>86</v>
      </c>
      <c r="D644" s="712">
        <v>0</v>
      </c>
      <c r="E644" s="712">
        <v>20000</v>
      </c>
    </row>
    <row r="645" spans="1:6" x14ac:dyDescent="0.25">
      <c r="A645" s="785">
        <v>46141</v>
      </c>
      <c r="B645" s="535" t="s">
        <v>1223</v>
      </c>
      <c r="C645" s="924" t="s">
        <v>1199</v>
      </c>
      <c r="D645" s="712">
        <v>0</v>
      </c>
      <c r="E645" s="712">
        <v>32319</v>
      </c>
    </row>
    <row r="646" spans="1:6" x14ac:dyDescent="0.25">
      <c r="A646" s="785">
        <v>46141</v>
      </c>
      <c r="B646" s="535" t="s">
        <v>1224</v>
      </c>
      <c r="C646" s="924" t="s">
        <v>1026</v>
      </c>
      <c r="D646" s="925">
        <v>0</v>
      </c>
      <c r="E646" s="925">
        <v>194490</v>
      </c>
    </row>
    <row r="647" spans="1:6" x14ac:dyDescent="0.25">
      <c r="B647" s="928" t="s">
        <v>1312</v>
      </c>
      <c r="C647" s="929"/>
      <c r="D647" s="930">
        <v>0</v>
      </c>
      <c r="E647" s="932">
        <v>14140</v>
      </c>
      <c r="F647" s="5">
        <f>SUM(E637:E647)</f>
        <v>756050</v>
      </c>
    </row>
    <row r="648" spans="1:6" x14ac:dyDescent="0.25">
      <c r="A648" s="936">
        <v>46142</v>
      </c>
      <c r="B648" s="396" t="s">
        <v>1225</v>
      </c>
      <c r="C648" s="937" t="s">
        <v>753</v>
      </c>
      <c r="D648" s="397">
        <v>0</v>
      </c>
      <c r="E648" s="397">
        <v>53328</v>
      </c>
    </row>
    <row r="649" spans="1:6" x14ac:dyDescent="0.25">
      <c r="B649" s="933" t="s">
        <v>1313</v>
      </c>
      <c r="C649" s="717"/>
      <c r="D649" s="129"/>
      <c r="E649" s="938">
        <v>14139</v>
      </c>
    </row>
    <row r="650" spans="1:6" x14ac:dyDescent="0.25">
      <c r="B650" s="935" t="s">
        <v>1314</v>
      </c>
      <c r="D650" s="129"/>
      <c r="E650" s="939">
        <v>14140</v>
      </c>
      <c r="F650" s="5">
        <f>SUM(E648:E650)</f>
        <v>81607</v>
      </c>
    </row>
    <row r="651" spans="1:6" x14ac:dyDescent="0.25">
      <c r="A651" s="464">
        <v>46141</v>
      </c>
      <c r="B651" s="462" t="s">
        <v>1217</v>
      </c>
      <c r="C651" s="940" t="s">
        <v>753</v>
      </c>
      <c r="D651" s="941">
        <v>0</v>
      </c>
      <c r="E651" s="941">
        <v>112110</v>
      </c>
    </row>
    <row r="652" spans="1:6" x14ac:dyDescent="0.25">
      <c r="A652" s="464">
        <v>46141</v>
      </c>
      <c r="B652" s="462" t="s">
        <v>1220</v>
      </c>
      <c r="C652" s="940" t="s">
        <v>147</v>
      </c>
      <c r="D652" s="941">
        <v>0</v>
      </c>
      <c r="E652" s="941">
        <v>34340</v>
      </c>
    </row>
    <row r="653" spans="1:6" x14ac:dyDescent="0.25">
      <c r="A653" s="766">
        <v>46146</v>
      </c>
      <c r="B653" s="462" t="s">
        <v>1231</v>
      </c>
      <c r="C653" s="940" t="s">
        <v>809</v>
      </c>
      <c r="D653" s="463">
        <v>0</v>
      </c>
      <c r="E653" s="463">
        <v>32322</v>
      </c>
      <c r="F653" s="5">
        <f>SUM(E651:E653)</f>
        <v>178772</v>
      </c>
    </row>
    <row r="654" spans="1:6" x14ac:dyDescent="0.25">
      <c r="B654" s="935" t="s">
        <v>1315</v>
      </c>
      <c r="C654" s="717"/>
      <c r="D654" s="934"/>
      <c r="E654" s="394">
        <v>14140</v>
      </c>
    </row>
    <row r="655" spans="1:6" x14ac:dyDescent="0.25">
      <c r="B655" s="742" t="s">
        <v>1316</v>
      </c>
      <c r="D655" s="129"/>
      <c r="E655" s="394">
        <v>14140</v>
      </c>
    </row>
    <row r="656" spans="1:6" x14ac:dyDescent="0.25">
      <c r="A656" s="936">
        <v>46146</v>
      </c>
      <c r="B656" s="396" t="s">
        <v>1233</v>
      </c>
      <c r="C656" s="937" t="s">
        <v>46</v>
      </c>
      <c r="D656" s="397">
        <v>0</v>
      </c>
      <c r="E656" s="397">
        <v>126048</v>
      </c>
    </row>
    <row r="657" spans="1:6" x14ac:dyDescent="0.25">
      <c r="A657" s="936">
        <v>46146</v>
      </c>
      <c r="B657" s="396" t="s">
        <v>1234</v>
      </c>
      <c r="C657" s="937" t="s">
        <v>1235</v>
      </c>
      <c r="D657" s="397">
        <v>0</v>
      </c>
      <c r="E657" s="397">
        <v>218160</v>
      </c>
    </row>
    <row r="658" spans="1:6" x14ac:dyDescent="0.25">
      <c r="A658" s="936">
        <v>46146</v>
      </c>
      <c r="B658" s="396" t="s">
        <v>1236</v>
      </c>
      <c r="C658" s="937" t="s">
        <v>86</v>
      </c>
      <c r="D658" s="397">
        <v>0</v>
      </c>
      <c r="E658" s="397">
        <v>42420</v>
      </c>
    </row>
    <row r="659" spans="1:6" x14ac:dyDescent="0.25">
      <c r="A659" s="936">
        <v>46144</v>
      </c>
      <c r="B659" s="396" t="s">
        <v>1228</v>
      </c>
      <c r="C659" s="937" t="s">
        <v>842</v>
      </c>
      <c r="D659" s="397">
        <v>0</v>
      </c>
      <c r="E659" s="397">
        <v>26260</v>
      </c>
    </row>
    <row r="660" spans="1:6" ht="15.75" thickBot="1" x14ac:dyDescent="0.3">
      <c r="A660" s="936">
        <v>46144</v>
      </c>
      <c r="B660" s="396" t="s">
        <v>1229</v>
      </c>
      <c r="C660" s="937" t="s">
        <v>46</v>
      </c>
      <c r="D660" s="397">
        <v>0</v>
      </c>
      <c r="E660" s="397">
        <v>26260</v>
      </c>
      <c r="F660" s="5">
        <f>SUM(E654:E660)</f>
        <v>467428</v>
      </c>
    </row>
    <row r="661" spans="1:6" ht="15.75" thickBot="1" x14ac:dyDescent="0.3">
      <c r="B661" s="943" t="s">
        <v>1317</v>
      </c>
      <c r="C661" s="943"/>
      <c r="D661" s="944"/>
      <c r="E661" s="784">
        <v>14140</v>
      </c>
    </row>
    <row r="662" spans="1:6" x14ac:dyDescent="0.25">
      <c r="A662" s="781">
        <v>46144</v>
      </c>
      <c r="B662" s="782" t="s">
        <v>1230</v>
      </c>
      <c r="C662" s="942" t="s">
        <v>753</v>
      </c>
      <c r="D662" s="783">
        <v>0</v>
      </c>
      <c r="E662" s="783">
        <v>288456</v>
      </c>
      <c r="F662" s="5">
        <f>SUM(E661:E662)</f>
        <v>302596</v>
      </c>
    </row>
    <row r="663" spans="1:6" x14ac:dyDescent="0.25">
      <c r="A663" s="840">
        <v>46147</v>
      </c>
      <c r="B663" s="286" t="s">
        <v>1241</v>
      </c>
      <c r="C663" s="945" t="s">
        <v>1242</v>
      </c>
      <c r="D663" s="287">
        <v>0</v>
      </c>
      <c r="E663" s="287">
        <v>28280</v>
      </c>
    </row>
    <row r="664" spans="1:6" x14ac:dyDescent="0.25">
      <c r="A664" s="840">
        <v>46147</v>
      </c>
      <c r="B664" s="286" t="s">
        <v>1243</v>
      </c>
      <c r="C664" s="945" t="s">
        <v>517</v>
      </c>
      <c r="D664" s="287">
        <v>0</v>
      </c>
      <c r="E664" s="287">
        <v>16160</v>
      </c>
    </row>
    <row r="665" spans="1:6" x14ac:dyDescent="0.25">
      <c r="A665" s="840">
        <v>46148</v>
      </c>
      <c r="B665" s="286" t="s">
        <v>1244</v>
      </c>
      <c r="C665" s="945" t="s">
        <v>517</v>
      </c>
      <c r="D665" s="287">
        <v>0</v>
      </c>
      <c r="E665" s="287">
        <v>51712</v>
      </c>
    </row>
    <row r="666" spans="1:6" x14ac:dyDescent="0.25">
      <c r="A666" s="840">
        <v>46147</v>
      </c>
      <c r="B666" s="286" t="s">
        <v>1239</v>
      </c>
      <c r="C666" s="945" t="s">
        <v>842</v>
      </c>
      <c r="D666" s="287">
        <v>0</v>
      </c>
      <c r="E666" s="287">
        <v>26260</v>
      </c>
      <c r="F666" s="18"/>
    </row>
    <row r="667" spans="1:6" x14ac:dyDescent="0.25">
      <c r="A667" s="840">
        <v>46137</v>
      </c>
      <c r="B667" s="286" t="s">
        <v>1207</v>
      </c>
      <c r="C667" s="945" t="s">
        <v>729</v>
      </c>
      <c r="D667" s="630">
        <v>0</v>
      </c>
      <c r="E667" s="630">
        <v>1315020</v>
      </c>
    </row>
    <row r="668" spans="1:6" x14ac:dyDescent="0.25">
      <c r="A668" s="840">
        <v>46137</v>
      </c>
      <c r="B668" s="286" t="s">
        <v>1208</v>
      </c>
      <c r="C668" s="945" t="s">
        <v>1209</v>
      </c>
      <c r="D668" s="563">
        <v>0</v>
      </c>
      <c r="E668" s="563">
        <v>710838</v>
      </c>
      <c r="F668" s="5">
        <f>SUM(E663:E668)</f>
        <v>2148270</v>
      </c>
    </row>
    <row r="669" spans="1:6" x14ac:dyDescent="0.25">
      <c r="B669" s="950" t="s">
        <v>1318</v>
      </c>
      <c r="C669" s="951"/>
      <c r="D669" s="952"/>
      <c r="E669" s="953">
        <v>28278</v>
      </c>
    </row>
    <row r="670" spans="1:6" x14ac:dyDescent="0.25">
      <c r="B670" s="950" t="s">
        <v>1319</v>
      </c>
      <c r="C670" s="951"/>
      <c r="D670" s="952"/>
      <c r="E670" s="953">
        <v>15150</v>
      </c>
    </row>
    <row r="671" spans="1:6" x14ac:dyDescent="0.25">
      <c r="A671" s="946">
        <v>46149</v>
      </c>
      <c r="B671" s="947" t="s">
        <v>1247</v>
      </c>
      <c r="C671" s="948" t="s">
        <v>1199</v>
      </c>
      <c r="D671" s="949">
        <v>0</v>
      </c>
      <c r="E671" s="949">
        <v>40401</v>
      </c>
    </row>
    <row r="672" spans="1:6" x14ac:dyDescent="0.25">
      <c r="A672" s="946">
        <v>46149</v>
      </c>
      <c r="B672" s="947" t="s">
        <v>1248</v>
      </c>
      <c r="C672" s="948" t="s">
        <v>1107</v>
      </c>
      <c r="D672" s="949">
        <v>0</v>
      </c>
      <c r="E672" s="949">
        <v>73528</v>
      </c>
    </row>
    <row r="673" spans="1:6" x14ac:dyDescent="0.25">
      <c r="A673" s="946">
        <v>46149</v>
      </c>
      <c r="B673" s="947" t="s">
        <v>1245</v>
      </c>
      <c r="C673" s="948" t="s">
        <v>538</v>
      </c>
      <c r="D673" s="949">
        <v>0</v>
      </c>
      <c r="E673" s="949">
        <v>29088</v>
      </c>
      <c r="F673" s="18"/>
    </row>
    <row r="674" spans="1:6" x14ac:dyDescent="0.25">
      <c r="A674" s="946">
        <v>46146</v>
      </c>
      <c r="B674" s="947" t="s">
        <v>1232</v>
      </c>
      <c r="C674" s="948" t="s">
        <v>517</v>
      </c>
      <c r="D674" s="949">
        <v>0</v>
      </c>
      <c r="E674" s="949">
        <v>101000</v>
      </c>
      <c r="F674" s="18">
        <f>SUM(E669:E674)</f>
        <v>287445</v>
      </c>
    </row>
    <row r="675" spans="1:6" x14ac:dyDescent="0.25">
      <c r="A675" s="787">
        <v>46150</v>
      </c>
      <c r="B675" s="535" t="s">
        <v>1252</v>
      </c>
      <c r="C675" s="924" t="s">
        <v>1253</v>
      </c>
      <c r="D675" s="534">
        <v>0</v>
      </c>
      <c r="E675" s="534">
        <v>1012020</v>
      </c>
      <c r="F675" s="710"/>
    </row>
    <row r="676" spans="1:6" x14ac:dyDescent="0.25">
      <c r="A676" s="787">
        <v>46150</v>
      </c>
      <c r="B676" s="535" t="s">
        <v>1254</v>
      </c>
      <c r="C676" s="924" t="s">
        <v>46</v>
      </c>
      <c r="D676" s="534">
        <v>0</v>
      </c>
      <c r="E676" s="534">
        <v>48480</v>
      </c>
      <c r="F676" s="18"/>
    </row>
    <row r="677" spans="1:6" x14ac:dyDescent="0.25">
      <c r="A677" s="787">
        <v>46149</v>
      </c>
      <c r="B677" s="535" t="s">
        <v>1246</v>
      </c>
      <c r="C677" s="924" t="s">
        <v>364</v>
      </c>
      <c r="D677" s="534">
        <v>0</v>
      </c>
      <c r="E677" s="534">
        <v>40401</v>
      </c>
      <c r="F677" s="18">
        <f>SUM(E675:E677)</f>
        <v>1100901</v>
      </c>
    </row>
    <row r="678" spans="1:6" x14ac:dyDescent="0.25">
      <c r="A678" s="803">
        <v>46154</v>
      </c>
      <c r="B678" s="316" t="s">
        <v>1265</v>
      </c>
      <c r="C678" s="954" t="s">
        <v>86</v>
      </c>
      <c r="D678" s="512">
        <v>0</v>
      </c>
      <c r="E678" s="512">
        <v>26664</v>
      </c>
      <c r="F678" s="18"/>
    </row>
    <row r="679" spans="1:6" x14ac:dyDescent="0.25">
      <c r="A679" s="803">
        <v>46154</v>
      </c>
      <c r="B679" s="316" t="s">
        <v>1266</v>
      </c>
      <c r="C679" s="954" t="s">
        <v>538</v>
      </c>
      <c r="D679" s="512">
        <v>0</v>
      </c>
      <c r="E679" s="512">
        <v>24240</v>
      </c>
      <c r="F679" s="18"/>
    </row>
    <row r="680" spans="1:6" x14ac:dyDescent="0.25">
      <c r="A680" s="803">
        <v>46153</v>
      </c>
      <c r="B680" s="316" t="s">
        <v>1260</v>
      </c>
      <c r="C680" s="954" t="s">
        <v>538</v>
      </c>
      <c r="D680" s="512">
        <v>0</v>
      </c>
      <c r="E680" s="512">
        <v>67872</v>
      </c>
    </row>
    <row r="681" spans="1:6" x14ac:dyDescent="0.25">
      <c r="A681" s="803">
        <v>46150</v>
      </c>
      <c r="B681" s="316" t="s">
        <v>1251</v>
      </c>
      <c r="C681" s="954" t="s">
        <v>60</v>
      </c>
      <c r="D681" s="512">
        <v>0</v>
      </c>
      <c r="E681" s="512">
        <v>28278</v>
      </c>
    </row>
    <row r="682" spans="1:6" x14ac:dyDescent="0.25">
      <c r="A682" s="803">
        <v>46146</v>
      </c>
      <c r="B682" s="316" t="s">
        <v>1237</v>
      </c>
      <c r="C682" s="954" t="s">
        <v>1238</v>
      </c>
      <c r="D682" s="512">
        <v>0</v>
      </c>
      <c r="E682" s="512">
        <v>56559</v>
      </c>
      <c r="F682" s="18">
        <f>SUM(E678:E682)</f>
        <v>203613</v>
      </c>
    </row>
    <row r="683" spans="1:6" x14ac:dyDescent="0.25">
      <c r="A683" s="955">
        <v>46153</v>
      </c>
      <c r="B683" s="290" t="s">
        <v>1258</v>
      </c>
      <c r="C683" s="956" t="s">
        <v>48</v>
      </c>
      <c r="D683" s="292">
        <v>0</v>
      </c>
      <c r="E683" s="292">
        <v>79992</v>
      </c>
      <c r="F683" s="18"/>
    </row>
    <row r="684" spans="1:6" x14ac:dyDescent="0.25">
      <c r="A684" s="955">
        <v>46153</v>
      </c>
      <c r="B684" s="290" t="s">
        <v>1261</v>
      </c>
      <c r="C684" s="956" t="s">
        <v>538</v>
      </c>
      <c r="D684" s="292">
        <v>0</v>
      </c>
      <c r="E684" s="292">
        <v>24240</v>
      </c>
    </row>
    <row r="685" spans="1:6" x14ac:dyDescent="0.25">
      <c r="A685" s="955">
        <v>46154</v>
      </c>
      <c r="B685" s="290" t="s">
        <v>1263</v>
      </c>
      <c r="C685" s="956" t="s">
        <v>1031</v>
      </c>
      <c r="D685" s="292">
        <v>0</v>
      </c>
      <c r="E685" s="292">
        <v>14139</v>
      </c>
    </row>
    <row r="686" spans="1:6" x14ac:dyDescent="0.25">
      <c r="A686" s="955">
        <v>46154</v>
      </c>
      <c r="B686" s="290" t="s">
        <v>1264</v>
      </c>
      <c r="C686" s="956" t="s">
        <v>1031</v>
      </c>
      <c r="D686" s="292">
        <v>0</v>
      </c>
      <c r="E686" s="292">
        <v>14139</v>
      </c>
    </row>
    <row r="687" spans="1:6" x14ac:dyDescent="0.25">
      <c r="A687" s="955">
        <v>46154</v>
      </c>
      <c r="B687" s="319" t="s">
        <v>1267</v>
      </c>
      <c r="C687" s="957" t="s">
        <v>1268</v>
      </c>
      <c r="D687" s="958">
        <v>0</v>
      </c>
      <c r="E687" s="958">
        <v>106050</v>
      </c>
    </row>
    <row r="688" spans="1:6" x14ac:dyDescent="0.25">
      <c r="A688" s="955">
        <v>46155</v>
      </c>
      <c r="B688" s="580" t="s">
        <v>1271</v>
      </c>
      <c r="C688" s="959" t="s">
        <v>1050</v>
      </c>
      <c r="D688" s="581">
        <v>0</v>
      </c>
      <c r="E688" s="581">
        <v>14140</v>
      </c>
    </row>
    <row r="689" spans="1:6" x14ac:dyDescent="0.25">
      <c r="A689" s="955">
        <v>46155</v>
      </c>
      <c r="B689" s="580" t="s">
        <v>1273</v>
      </c>
      <c r="C689" s="959" t="s">
        <v>1050</v>
      </c>
      <c r="D689" s="581">
        <v>0</v>
      </c>
      <c r="E689" s="581">
        <v>16160</v>
      </c>
      <c r="F689" s="5"/>
    </row>
    <row r="690" spans="1:6" ht="30" x14ac:dyDescent="0.25">
      <c r="A690" s="955">
        <v>46150</v>
      </c>
      <c r="B690" s="290" t="s">
        <v>1249</v>
      </c>
      <c r="C690" s="956" t="s">
        <v>859</v>
      </c>
      <c r="D690" s="292">
        <v>0</v>
      </c>
      <c r="E690" s="292">
        <v>14140</v>
      </c>
    </row>
    <row r="691" spans="1:6" x14ac:dyDescent="0.25">
      <c r="A691" s="955">
        <v>46150</v>
      </c>
      <c r="B691" s="290" t="s">
        <v>1250</v>
      </c>
      <c r="C691" s="956" t="s">
        <v>702</v>
      </c>
      <c r="D691" s="292">
        <v>0</v>
      </c>
      <c r="E691" s="292">
        <v>14140</v>
      </c>
      <c r="F691" s="5">
        <f>SUM(E683:E691)</f>
        <v>297140</v>
      </c>
    </row>
    <row r="692" spans="1:6" x14ac:dyDescent="0.25">
      <c r="A692" s="775">
        <v>46154</v>
      </c>
      <c r="B692" s="771" t="s">
        <v>1262</v>
      </c>
      <c r="C692" s="960" t="s">
        <v>364</v>
      </c>
      <c r="D692" s="772">
        <v>0</v>
      </c>
      <c r="E692" s="772">
        <v>27270</v>
      </c>
    </row>
    <row r="693" spans="1:6" x14ac:dyDescent="0.25">
      <c r="A693" s="775">
        <v>46150</v>
      </c>
      <c r="B693" s="771" t="s">
        <v>1255</v>
      </c>
      <c r="C693" s="960" t="s">
        <v>727</v>
      </c>
      <c r="D693" s="772">
        <v>0</v>
      </c>
      <c r="E693" s="772">
        <v>24240</v>
      </c>
    </row>
    <row r="694" spans="1:6" x14ac:dyDescent="0.25">
      <c r="B694" s="961" t="s">
        <v>1320</v>
      </c>
      <c r="D694" s="129"/>
      <c r="E694" s="774">
        <v>44440</v>
      </c>
      <c r="F694" s="5">
        <f>SUM(E692:E694)</f>
        <v>95950</v>
      </c>
    </row>
    <row r="695" spans="1:6" x14ac:dyDescent="0.25">
      <c r="A695" s="766">
        <v>46151</v>
      </c>
      <c r="B695" s="462" t="s">
        <v>1257</v>
      </c>
      <c r="C695" s="940" t="s">
        <v>585</v>
      </c>
      <c r="D695" s="463">
        <v>0</v>
      </c>
      <c r="E695" s="463">
        <v>172104</v>
      </c>
    </row>
    <row r="696" spans="1:6" x14ac:dyDescent="0.25">
      <c r="A696" s="766">
        <v>46155</v>
      </c>
      <c r="B696" s="962" t="s">
        <v>1272</v>
      </c>
      <c r="C696" s="963" t="s">
        <v>1050</v>
      </c>
      <c r="D696" s="964">
        <v>0</v>
      </c>
      <c r="E696" s="964">
        <v>20000</v>
      </c>
    </row>
    <row r="697" spans="1:6" x14ac:dyDescent="0.25">
      <c r="A697" s="766">
        <v>46157</v>
      </c>
      <c r="B697" s="459" t="s">
        <v>1274</v>
      </c>
      <c r="C697" s="965" t="s">
        <v>160</v>
      </c>
      <c r="D697" s="941">
        <v>0</v>
      </c>
      <c r="E697" s="941">
        <v>28278</v>
      </c>
    </row>
    <row r="698" spans="1:6" x14ac:dyDescent="0.25">
      <c r="A698" s="766">
        <v>46157</v>
      </c>
      <c r="B698" s="459" t="s">
        <v>1277</v>
      </c>
      <c r="C698" s="965" t="s">
        <v>147</v>
      </c>
      <c r="D698" s="941">
        <v>0</v>
      </c>
      <c r="E698" s="941">
        <v>16160</v>
      </c>
      <c r="F698" s="18"/>
    </row>
    <row r="699" spans="1:6" x14ac:dyDescent="0.25">
      <c r="A699" s="766">
        <v>46157</v>
      </c>
      <c r="B699" s="459" t="s">
        <v>1281</v>
      </c>
      <c r="C699" s="965" t="s">
        <v>1209</v>
      </c>
      <c r="D699" s="941">
        <v>0</v>
      </c>
      <c r="E699" s="941">
        <v>373296</v>
      </c>
    </row>
    <row r="700" spans="1:6" ht="15.75" thickBot="1" x14ac:dyDescent="0.3">
      <c r="A700" s="766">
        <v>46158</v>
      </c>
      <c r="B700" s="962" t="s">
        <v>1285</v>
      </c>
      <c r="C700" s="963" t="s">
        <v>135</v>
      </c>
      <c r="D700" s="964">
        <v>0</v>
      </c>
      <c r="E700" s="964">
        <v>20000</v>
      </c>
      <c r="F700" s="5">
        <f>SUM(E695:E700)</f>
        <v>629838</v>
      </c>
    </row>
    <row r="701" spans="1:6" ht="15.75" thickBot="1" x14ac:dyDescent="0.3">
      <c r="B701" s="966" t="s">
        <v>1321</v>
      </c>
      <c r="C701" s="966"/>
      <c r="D701" s="967"/>
      <c r="E701" s="968">
        <v>52520</v>
      </c>
    </row>
    <row r="702" spans="1:6" x14ac:dyDescent="0.25">
      <c r="A702" s="840">
        <v>46153</v>
      </c>
      <c r="B702" s="286" t="s">
        <v>1259</v>
      </c>
      <c r="C702" s="945" t="s">
        <v>1026</v>
      </c>
      <c r="D702" s="287">
        <v>0</v>
      </c>
      <c r="E702" s="287">
        <v>338026</v>
      </c>
      <c r="F702" s="5">
        <f>SUM(E701:E702)</f>
        <v>390546</v>
      </c>
    </row>
    <row r="703" spans="1:6" x14ac:dyDescent="0.25">
      <c r="A703" s="969">
        <v>46155</v>
      </c>
      <c r="B703" s="973" t="s">
        <v>1269</v>
      </c>
      <c r="C703" s="974" t="s">
        <v>1209</v>
      </c>
      <c r="D703" s="669">
        <v>0</v>
      </c>
      <c r="E703" s="669">
        <v>968987</v>
      </c>
    </row>
    <row r="704" spans="1:6" x14ac:dyDescent="0.25">
      <c r="A704" s="969">
        <v>46155</v>
      </c>
      <c r="B704" s="970" t="s">
        <v>1270</v>
      </c>
      <c r="C704" s="971" t="s">
        <v>1209</v>
      </c>
      <c r="D704" s="972">
        <v>0</v>
      </c>
      <c r="E704" s="972">
        <v>561707</v>
      </c>
    </row>
    <row r="705" spans="1:6" x14ac:dyDescent="0.25">
      <c r="A705" s="969">
        <v>46157</v>
      </c>
      <c r="B705" s="973" t="s">
        <v>1275</v>
      </c>
      <c r="C705" s="974" t="s">
        <v>1276</v>
      </c>
      <c r="D705" s="669">
        <v>0</v>
      </c>
      <c r="E705" s="669">
        <v>27270</v>
      </c>
      <c r="F705" s="5">
        <f>SUM(E703:E705)</f>
        <v>1557964</v>
      </c>
    </row>
    <row r="706" spans="1:6" x14ac:dyDescent="0.25">
      <c r="A706" s="955">
        <v>46160</v>
      </c>
      <c r="B706" s="279" t="s">
        <v>1289</v>
      </c>
      <c r="C706" s="975" t="s">
        <v>147</v>
      </c>
      <c r="D706" s="976">
        <v>0</v>
      </c>
      <c r="E706" s="976">
        <v>16161</v>
      </c>
    </row>
    <row r="707" spans="1:6" x14ac:dyDescent="0.25">
      <c r="A707" s="955">
        <v>46160</v>
      </c>
      <c r="B707" s="279" t="s">
        <v>1290</v>
      </c>
      <c r="C707" s="975" t="s">
        <v>86</v>
      </c>
      <c r="D707" s="976">
        <v>0</v>
      </c>
      <c r="E707" s="976">
        <v>24240</v>
      </c>
    </row>
    <row r="708" spans="1:6" ht="30" x14ac:dyDescent="0.25">
      <c r="A708" s="955">
        <v>46160</v>
      </c>
      <c r="B708" s="279" t="s">
        <v>1287</v>
      </c>
      <c r="C708" s="975" t="s">
        <v>859</v>
      </c>
      <c r="D708" s="976">
        <v>0</v>
      </c>
      <c r="E708" s="976">
        <v>14140</v>
      </c>
      <c r="F708" s="18"/>
    </row>
    <row r="709" spans="1:6" x14ac:dyDescent="0.25">
      <c r="A709" s="955">
        <v>46157</v>
      </c>
      <c r="B709" s="580" t="s">
        <v>1282</v>
      </c>
      <c r="C709" s="959" t="s">
        <v>86</v>
      </c>
      <c r="D709" s="581">
        <v>0</v>
      </c>
      <c r="E709" s="581">
        <v>50499</v>
      </c>
    </row>
    <row r="710" spans="1:6" x14ac:dyDescent="0.25">
      <c r="A710" s="955">
        <v>46161</v>
      </c>
      <c r="B710" s="279" t="s">
        <v>1293</v>
      </c>
      <c r="C710" s="975" t="s">
        <v>809</v>
      </c>
      <c r="D710" s="976">
        <v>0</v>
      </c>
      <c r="E710" s="976">
        <v>58176</v>
      </c>
      <c r="F710" s="5">
        <f>SUM(E706:E710)</f>
        <v>163216</v>
      </c>
    </row>
    <row r="711" spans="1:6" x14ac:dyDescent="0.25">
      <c r="A711" s="744">
        <v>46160</v>
      </c>
      <c r="B711" s="876" t="s">
        <v>1288</v>
      </c>
      <c r="C711" s="899" t="s">
        <v>147</v>
      </c>
      <c r="D711" s="76">
        <v>0</v>
      </c>
      <c r="E711" s="76">
        <v>16160</v>
      </c>
    </row>
    <row r="712" spans="1:6" x14ac:dyDescent="0.25">
      <c r="A712" s="744">
        <v>46158</v>
      </c>
      <c r="B712" s="855" t="s">
        <v>1283</v>
      </c>
      <c r="C712" s="900" t="s">
        <v>364</v>
      </c>
      <c r="D712" s="76">
        <v>0</v>
      </c>
      <c r="E712" s="76">
        <v>20200</v>
      </c>
      <c r="F712" s="5">
        <f>SUM(E711:E712)</f>
        <v>36360</v>
      </c>
    </row>
    <row r="713" spans="1:6" x14ac:dyDescent="0.25">
      <c r="B713" s="861" t="s">
        <v>1322</v>
      </c>
      <c r="C713" s="985"/>
      <c r="D713" s="986"/>
      <c r="E713" s="987">
        <v>28280</v>
      </c>
    </row>
    <row r="714" spans="1:6" x14ac:dyDescent="0.25">
      <c r="B714" s="988" t="s">
        <v>1323</v>
      </c>
      <c r="C714" s="777"/>
      <c r="D714" s="984"/>
      <c r="E714" s="774">
        <v>14140</v>
      </c>
    </row>
    <row r="715" spans="1:6" x14ac:dyDescent="0.25">
      <c r="A715" s="775">
        <v>46162</v>
      </c>
      <c r="B715" s="779" t="s">
        <v>1295</v>
      </c>
      <c r="C715" s="983" t="s">
        <v>538</v>
      </c>
      <c r="D715" s="780">
        <v>0</v>
      </c>
      <c r="E715" s="780">
        <v>87264</v>
      </c>
    </row>
    <row r="716" spans="1:6" x14ac:dyDescent="0.25">
      <c r="A716" s="775">
        <v>46162</v>
      </c>
      <c r="B716" s="779" t="s">
        <v>1296</v>
      </c>
      <c r="C716" s="983" t="s">
        <v>1297</v>
      </c>
      <c r="D716" s="780">
        <v>0</v>
      </c>
      <c r="E716" s="780">
        <v>1112767</v>
      </c>
    </row>
    <row r="717" spans="1:6" x14ac:dyDescent="0.25">
      <c r="A717" s="775">
        <v>46163</v>
      </c>
      <c r="B717" s="980" t="s">
        <v>1298</v>
      </c>
      <c r="C717" s="981" t="s">
        <v>63</v>
      </c>
      <c r="D717" s="982">
        <v>0</v>
      </c>
      <c r="E717" s="982">
        <v>39592</v>
      </c>
    </row>
    <row r="718" spans="1:6" x14ac:dyDescent="0.25">
      <c r="A718" s="775">
        <v>46164</v>
      </c>
      <c r="B718" s="977" t="s">
        <v>1306</v>
      </c>
      <c r="C718" s="978" t="s">
        <v>1307</v>
      </c>
      <c r="D718" s="979">
        <v>0</v>
      </c>
      <c r="E718" s="979">
        <v>36764</v>
      </c>
      <c r="F718" s="18"/>
    </row>
    <row r="719" spans="1:6" x14ac:dyDescent="0.25">
      <c r="A719" s="775">
        <v>46161</v>
      </c>
      <c r="B719" s="980" t="s">
        <v>1292</v>
      </c>
      <c r="C719" s="981" t="s">
        <v>147</v>
      </c>
      <c r="D719" s="982">
        <v>0</v>
      </c>
      <c r="E719" s="982">
        <v>16160</v>
      </c>
      <c r="F719" s="5"/>
    </row>
    <row r="720" spans="1:6" x14ac:dyDescent="0.25">
      <c r="A720" s="775">
        <v>46147</v>
      </c>
      <c r="B720" s="771" t="s">
        <v>1240</v>
      </c>
      <c r="C720" s="960" t="s">
        <v>842</v>
      </c>
      <c r="D720" s="772">
        <v>0</v>
      </c>
      <c r="E720" s="772">
        <v>20200</v>
      </c>
      <c r="F720" s="5">
        <f>SUM(E713:E720)</f>
        <v>1355167</v>
      </c>
    </row>
    <row r="721" spans="1:14" ht="15.75" thickBot="1" x14ac:dyDescent="0.3">
      <c r="B721" s="991" t="s">
        <v>1324</v>
      </c>
      <c r="C721" s="992"/>
      <c r="D721" s="993"/>
      <c r="E721" s="906">
        <v>25251</v>
      </c>
    </row>
    <row r="722" spans="1:14" ht="15.75" thickBot="1" x14ac:dyDescent="0.3">
      <c r="B722" s="994" t="s">
        <v>1325</v>
      </c>
      <c r="C722" s="995"/>
      <c r="D722" s="993"/>
      <c r="E722" s="906">
        <v>16160</v>
      </c>
    </row>
    <row r="723" spans="1:14" x14ac:dyDescent="0.25">
      <c r="A723" s="902">
        <v>46157</v>
      </c>
      <c r="B723" s="989" t="s">
        <v>1280</v>
      </c>
      <c r="C723" s="990" t="s">
        <v>86</v>
      </c>
      <c r="D723" s="909">
        <v>0</v>
      </c>
      <c r="E723" s="909">
        <v>347718</v>
      </c>
    </row>
    <row r="724" spans="1:14" x14ac:dyDescent="0.25">
      <c r="A724" s="902">
        <v>46160</v>
      </c>
      <c r="B724" s="989" t="s">
        <v>1286</v>
      </c>
      <c r="C724" s="990" t="s">
        <v>842</v>
      </c>
      <c r="D724" s="909">
        <v>0</v>
      </c>
      <c r="E724" s="909">
        <v>26260</v>
      </c>
    </row>
    <row r="725" spans="1:14" x14ac:dyDescent="0.25">
      <c r="A725" s="902">
        <v>46162</v>
      </c>
      <c r="B725" s="989" t="s">
        <v>1294</v>
      </c>
      <c r="C725" s="990" t="s">
        <v>842</v>
      </c>
      <c r="D725" s="909">
        <v>0</v>
      </c>
      <c r="E725" s="909">
        <v>26260</v>
      </c>
      <c r="F725" s="5">
        <f>SUM(E721:E725)</f>
        <v>441649</v>
      </c>
    </row>
    <row r="726" spans="1:14" x14ac:dyDescent="0.25">
      <c r="B726" s="996" t="s">
        <v>1326</v>
      </c>
      <c r="C726" s="997"/>
      <c r="D726" s="998"/>
      <c r="E726" s="999">
        <v>14140</v>
      </c>
      <c r="L726" s="1002">
        <v>46141</v>
      </c>
    </row>
    <row r="727" spans="1:14" ht="30.75" customHeight="1" thickBot="1" x14ac:dyDescent="0.3">
      <c r="A727" s="955">
        <v>46164</v>
      </c>
      <c r="B727" s="279" t="s">
        <v>1300</v>
      </c>
      <c r="C727" s="975" t="s">
        <v>842</v>
      </c>
      <c r="D727" s="976">
        <v>0</v>
      </c>
      <c r="E727" s="976">
        <v>26260</v>
      </c>
      <c r="I727" s="744">
        <v>46133</v>
      </c>
      <c r="J727" s="857" t="s">
        <v>1189</v>
      </c>
      <c r="K727" s="897" t="s">
        <v>86</v>
      </c>
      <c r="L727" s="719">
        <v>204525</v>
      </c>
      <c r="M727" s="18"/>
      <c r="N727" s="18" t="s">
        <v>1328</v>
      </c>
    </row>
    <row r="728" spans="1:14" ht="16.5" customHeight="1" thickBot="1" x14ac:dyDescent="0.3">
      <c r="A728" s="955">
        <v>46164</v>
      </c>
      <c r="B728" s="279" t="s">
        <v>1301</v>
      </c>
      <c r="C728" s="975" t="s">
        <v>1302</v>
      </c>
      <c r="D728" s="976">
        <v>0</v>
      </c>
      <c r="E728" s="976">
        <v>79992</v>
      </c>
      <c r="I728" s="744">
        <v>46134</v>
      </c>
      <c r="J728" s="614" t="s">
        <v>1191</v>
      </c>
      <c r="K728" s="896" t="s">
        <v>86</v>
      </c>
      <c r="L728" s="1000">
        <v>295425</v>
      </c>
      <c r="M728" s="1001">
        <f>SUM(L727:L728)</f>
        <v>499950</v>
      </c>
      <c r="N728" s="18" t="s">
        <v>1328</v>
      </c>
    </row>
    <row r="729" spans="1:14" x14ac:dyDescent="0.25">
      <c r="A729" s="955">
        <v>46164</v>
      </c>
      <c r="B729" s="580" t="s">
        <v>1303</v>
      </c>
      <c r="C729" s="959" t="s">
        <v>1304</v>
      </c>
      <c r="D729" s="581">
        <v>0</v>
      </c>
      <c r="E729" s="581">
        <v>44440</v>
      </c>
      <c r="L729" s="1003" t="s">
        <v>1331</v>
      </c>
    </row>
    <row r="730" spans="1:14" ht="15.75" thickBot="1" x14ac:dyDescent="0.3">
      <c r="A730" s="1007">
        <v>46158</v>
      </c>
      <c r="B730" s="1008" t="s">
        <v>1284</v>
      </c>
      <c r="C730" s="1009" t="s">
        <v>1253</v>
      </c>
      <c r="D730" s="1010">
        <v>0</v>
      </c>
      <c r="E730" s="1010">
        <v>805980</v>
      </c>
      <c r="F730" s="5">
        <f>SUM(E726:E730)</f>
        <v>970812</v>
      </c>
      <c r="I730" s="744">
        <v>46136</v>
      </c>
      <c r="J730" s="614" t="s">
        <v>1201</v>
      </c>
      <c r="K730" s="896" t="s">
        <v>48</v>
      </c>
      <c r="L730" s="159">
        <v>37876</v>
      </c>
      <c r="M730" s="18"/>
      <c r="N730" s="18" t="s">
        <v>1329</v>
      </c>
    </row>
    <row r="731" spans="1:14" ht="15.75" thickBot="1" x14ac:dyDescent="0.3">
      <c r="A731" s="164">
        <v>46171</v>
      </c>
      <c r="B731" s="1011" t="s">
        <v>1338</v>
      </c>
      <c r="C731" s="1012"/>
      <c r="D731" s="1013"/>
      <c r="E731" s="1014">
        <v>55550</v>
      </c>
      <c r="F731" s="5">
        <f>E731</f>
        <v>55550</v>
      </c>
      <c r="I731" s="744">
        <v>46137</v>
      </c>
      <c r="J731" s="614" t="s">
        <v>1205</v>
      </c>
      <c r="K731" s="896" t="s">
        <v>1206</v>
      </c>
      <c r="L731" s="159">
        <v>33936</v>
      </c>
      <c r="M731" s="18"/>
      <c r="N731" s="18" t="s">
        <v>1329</v>
      </c>
    </row>
    <row r="732" spans="1:14" ht="15.75" thickBot="1" x14ac:dyDescent="0.3">
      <c r="B732" s="1028" t="s">
        <v>1373</v>
      </c>
      <c r="C732" s="1029"/>
      <c r="D732" s="1030"/>
      <c r="E732" s="1031">
        <v>16160</v>
      </c>
      <c r="I732" s="744">
        <v>46137</v>
      </c>
      <c r="J732" s="877" t="s">
        <v>1211</v>
      </c>
      <c r="K732" s="898" t="s">
        <v>94</v>
      </c>
      <c r="L732" s="1005">
        <v>40401</v>
      </c>
      <c r="M732" s="1004">
        <f>SUM(L730:L732)</f>
        <v>112213</v>
      </c>
      <c r="N732" s="18" t="s">
        <v>1329</v>
      </c>
    </row>
    <row r="733" spans="1:14" x14ac:dyDescent="0.25">
      <c r="B733" s="1032" t="s">
        <v>1374</v>
      </c>
      <c r="C733" s="720"/>
      <c r="D733" s="1027"/>
      <c r="E733" s="152">
        <v>30304</v>
      </c>
    </row>
    <row r="734" spans="1:14" x14ac:dyDescent="0.25">
      <c r="B734" s="1028" t="s">
        <v>1375</v>
      </c>
      <c r="C734" s="720"/>
      <c r="D734" s="1027"/>
      <c r="E734" s="152">
        <v>14140</v>
      </c>
      <c r="I734" s="542">
        <v>46093</v>
      </c>
      <c r="J734" s="614" t="s">
        <v>968</v>
      </c>
      <c r="K734" s="896" t="s">
        <v>152</v>
      </c>
      <c r="L734" s="76">
        <v>31512</v>
      </c>
      <c r="M734" s="3"/>
      <c r="N734" s="18" t="s">
        <v>1330</v>
      </c>
    </row>
    <row r="735" spans="1:14" x14ac:dyDescent="0.25">
      <c r="B735" s="1028" t="s">
        <v>1376</v>
      </c>
      <c r="C735" s="720"/>
      <c r="D735" s="1027"/>
      <c r="E735" s="152">
        <v>28280</v>
      </c>
    </row>
    <row r="736" spans="1:14" x14ac:dyDescent="0.25">
      <c r="A736" s="805">
        <v>46168</v>
      </c>
      <c r="B736" s="154" t="s">
        <v>1310</v>
      </c>
      <c r="C736" s="154" t="s">
        <v>1311</v>
      </c>
      <c r="D736" s="1033">
        <v>0</v>
      </c>
      <c r="E736" s="1033">
        <v>29088</v>
      </c>
    </row>
    <row r="737" spans="1:6" x14ac:dyDescent="0.25">
      <c r="A737" s="805">
        <v>46170</v>
      </c>
      <c r="B737" s="81" t="s">
        <v>1335</v>
      </c>
      <c r="C737" s="1034" t="s">
        <v>48</v>
      </c>
      <c r="D737" s="148">
        <v>0</v>
      </c>
      <c r="E737" s="148">
        <v>48483</v>
      </c>
    </row>
    <row r="738" spans="1:6" x14ac:dyDescent="0.25">
      <c r="A738" s="805">
        <v>46164</v>
      </c>
      <c r="B738" s="75" t="s">
        <v>1305</v>
      </c>
      <c r="C738" s="75" t="s">
        <v>1304</v>
      </c>
      <c r="D738" s="1031">
        <v>0</v>
      </c>
      <c r="E738" s="1031">
        <v>46461</v>
      </c>
      <c r="F738" s="152"/>
    </row>
    <row r="739" spans="1:6" x14ac:dyDescent="0.25">
      <c r="A739" s="805">
        <v>46167</v>
      </c>
      <c r="B739" s="81" t="s">
        <v>1308</v>
      </c>
      <c r="C739" s="81" t="s">
        <v>167</v>
      </c>
      <c r="D739" s="148">
        <v>0</v>
      </c>
      <c r="E739" s="148">
        <v>281588</v>
      </c>
      <c r="F739" s="18"/>
    </row>
    <row r="740" spans="1:6" x14ac:dyDescent="0.25">
      <c r="A740" s="805">
        <v>46157</v>
      </c>
      <c r="B740" s="75" t="s">
        <v>1278</v>
      </c>
      <c r="C740" s="1036" t="s">
        <v>1279</v>
      </c>
      <c r="D740" s="129"/>
      <c r="E740" s="79">
        <v>227250</v>
      </c>
    </row>
    <row r="741" spans="1:6" x14ac:dyDescent="0.25">
      <c r="A741" s="805">
        <v>46160</v>
      </c>
      <c r="B741" s="81" t="s">
        <v>1291</v>
      </c>
      <c r="C741" s="1035" t="s">
        <v>1209</v>
      </c>
      <c r="D741" s="1027"/>
      <c r="E741" s="148">
        <v>306362</v>
      </c>
      <c r="F741" s="5">
        <f>SUM(E732:E741)</f>
        <v>1028116</v>
      </c>
    </row>
    <row r="742" spans="1:6" x14ac:dyDescent="0.25">
      <c r="B742" s="1043" t="s">
        <v>1377</v>
      </c>
      <c r="C742" s="1044"/>
      <c r="D742" s="1045"/>
      <c r="E742" s="1041">
        <v>42420</v>
      </c>
    </row>
    <row r="743" spans="1:6" x14ac:dyDescent="0.25">
      <c r="A743" s="1037">
        <v>46151</v>
      </c>
      <c r="B743" s="1038" t="s">
        <v>1256</v>
      </c>
      <c r="C743" s="1039" t="s">
        <v>842</v>
      </c>
      <c r="D743" s="129"/>
      <c r="E743" s="1040">
        <v>290880</v>
      </c>
      <c r="F743" s="18"/>
    </row>
    <row r="744" spans="1:6" x14ac:dyDescent="0.25">
      <c r="A744" s="1042">
        <v>46172</v>
      </c>
      <c r="B744" s="1038" t="s">
        <v>1347</v>
      </c>
      <c r="C744" s="1038" t="s">
        <v>538</v>
      </c>
      <c r="D744" s="129"/>
      <c r="E744" s="1040">
        <v>31512</v>
      </c>
      <c r="F744" s="5">
        <f>SUM(E742:E744)</f>
        <v>364812</v>
      </c>
    </row>
    <row r="745" spans="1:6" x14ac:dyDescent="0.25">
      <c r="A745" s="785">
        <v>46170</v>
      </c>
      <c r="B745" s="711" t="s">
        <v>1336</v>
      </c>
      <c r="C745" s="711" t="s">
        <v>1337</v>
      </c>
      <c r="D745" s="129"/>
      <c r="E745" s="712">
        <v>186648</v>
      </c>
    </row>
    <row r="746" spans="1:6" x14ac:dyDescent="0.25">
      <c r="A746" s="785">
        <v>46172</v>
      </c>
      <c r="B746" s="535" t="s">
        <v>1344</v>
      </c>
      <c r="C746" s="535" t="s">
        <v>842</v>
      </c>
      <c r="D746" s="129"/>
      <c r="E746" s="534">
        <v>26260</v>
      </c>
    </row>
    <row r="747" spans="1:6" x14ac:dyDescent="0.25">
      <c r="A747" s="785">
        <v>46172</v>
      </c>
      <c r="B747" s="535" t="s">
        <v>1346</v>
      </c>
      <c r="C747" s="535" t="s">
        <v>538</v>
      </c>
      <c r="D747" s="129"/>
      <c r="E747" s="534">
        <v>150288</v>
      </c>
      <c r="F747" s="5">
        <f>SUM(E745:E747)</f>
        <v>363196</v>
      </c>
    </row>
    <row r="748" spans="1:6" x14ac:dyDescent="0.25">
      <c r="A748" s="1046">
        <v>46172</v>
      </c>
      <c r="B748" s="947" t="s">
        <v>1345</v>
      </c>
      <c r="C748" s="947" t="s">
        <v>842</v>
      </c>
      <c r="D748" s="129"/>
      <c r="E748" s="949">
        <v>20200</v>
      </c>
    </row>
    <row r="749" spans="1:6" x14ac:dyDescent="0.25">
      <c r="A749" s="1046">
        <v>46174</v>
      </c>
      <c r="B749" s="947" t="s">
        <v>1348</v>
      </c>
      <c r="C749" s="947" t="s">
        <v>753</v>
      </c>
      <c r="D749" s="129"/>
      <c r="E749" s="949">
        <v>87264</v>
      </c>
    </row>
    <row r="750" spans="1:6" x14ac:dyDescent="0.25">
      <c r="A750" s="1046">
        <v>46175</v>
      </c>
      <c r="B750" s="947" t="s">
        <v>1351</v>
      </c>
      <c r="C750" s="947" t="s">
        <v>538</v>
      </c>
      <c r="D750" s="129"/>
      <c r="E750" s="949">
        <v>60600</v>
      </c>
      <c r="F750" s="5">
        <f>SUM(E748:E750)</f>
        <v>168064</v>
      </c>
    </row>
    <row r="751" spans="1:6" x14ac:dyDescent="0.25">
      <c r="A751" s="1051">
        <v>46168</v>
      </c>
      <c r="B751" s="265" t="s">
        <v>1309</v>
      </c>
      <c r="C751" s="265" t="s">
        <v>1026</v>
      </c>
      <c r="D751" s="129"/>
      <c r="E751" s="1052">
        <v>98960</v>
      </c>
    </row>
    <row r="752" spans="1:6" ht="15.75" thickBot="1" x14ac:dyDescent="0.3">
      <c r="A752" s="1053">
        <v>46175</v>
      </c>
      <c r="B752" s="269" t="s">
        <v>1349</v>
      </c>
      <c r="C752" s="269" t="s">
        <v>147</v>
      </c>
      <c r="D752" s="129"/>
      <c r="E752" s="271">
        <v>16160</v>
      </c>
    </row>
    <row r="753" spans="1:6" ht="15.75" thickBot="1" x14ac:dyDescent="0.3">
      <c r="B753" s="1047" t="s">
        <v>1378</v>
      </c>
      <c r="C753" s="1047"/>
      <c r="D753" s="1048"/>
      <c r="E753" s="507">
        <v>20200</v>
      </c>
    </row>
    <row r="754" spans="1:6" x14ac:dyDescent="0.25">
      <c r="B754" s="1049" t="s">
        <v>1379</v>
      </c>
      <c r="C754" s="1050"/>
      <c r="D754" s="1048"/>
      <c r="E754" s="507">
        <v>20200</v>
      </c>
      <c r="F754" s="5">
        <f>SUM(E751:E754)</f>
        <v>155520</v>
      </c>
    </row>
    <row r="755" spans="1:6" x14ac:dyDescent="0.25">
      <c r="A755" s="510">
        <v>46176</v>
      </c>
      <c r="B755" s="316" t="s">
        <v>1352</v>
      </c>
      <c r="C755" s="316" t="s">
        <v>63</v>
      </c>
      <c r="D755" s="129"/>
      <c r="E755" s="512">
        <v>14139</v>
      </c>
    </row>
    <row r="756" spans="1:6" x14ac:dyDescent="0.25">
      <c r="A756" s="510">
        <v>46176</v>
      </c>
      <c r="B756" s="703" t="s">
        <v>1354</v>
      </c>
      <c r="C756" s="703" t="s">
        <v>1297</v>
      </c>
      <c r="D756" s="129"/>
      <c r="E756" s="705">
        <v>334512</v>
      </c>
      <c r="F756" s="5">
        <f>SUM(E755:E756)</f>
        <v>348651</v>
      </c>
    </row>
    <row r="757" spans="1:6" x14ac:dyDescent="0.25">
      <c r="A757" s="1066">
        <v>46175</v>
      </c>
      <c r="B757" s="771" t="s">
        <v>1350</v>
      </c>
      <c r="C757" s="771" t="s">
        <v>753</v>
      </c>
      <c r="D757" s="772">
        <v>0</v>
      </c>
      <c r="E757" s="772">
        <v>432735</v>
      </c>
    </row>
    <row r="758" spans="1:6" x14ac:dyDescent="0.25">
      <c r="A758" s="1065">
        <v>46179</v>
      </c>
      <c r="B758" s="776" t="s">
        <v>1366</v>
      </c>
      <c r="C758" s="776" t="s">
        <v>1367</v>
      </c>
      <c r="D758" s="859">
        <v>0</v>
      </c>
      <c r="E758" s="859">
        <v>764556</v>
      </c>
      <c r="F758" s="5">
        <f>SUM(E757:E758)</f>
        <v>1197291</v>
      </c>
    </row>
    <row r="759" spans="1:6" x14ac:dyDescent="0.25">
      <c r="A759" s="834">
        <v>46179</v>
      </c>
      <c r="B759" s="696" t="s">
        <v>1362</v>
      </c>
      <c r="C759" s="696" t="s">
        <v>1361</v>
      </c>
      <c r="D759" s="698">
        <v>0</v>
      </c>
      <c r="E759" s="698">
        <v>15150</v>
      </c>
    </row>
    <row r="760" spans="1:6" x14ac:dyDescent="0.25">
      <c r="A760" s="834">
        <v>46179</v>
      </c>
      <c r="B760" s="696" t="s">
        <v>1363</v>
      </c>
      <c r="C760" s="696" t="s">
        <v>63</v>
      </c>
      <c r="D760" s="698">
        <v>0</v>
      </c>
      <c r="E760" s="698">
        <v>14140</v>
      </c>
    </row>
    <row r="761" spans="1:6" x14ac:dyDescent="0.25">
      <c r="A761" s="834">
        <v>46178</v>
      </c>
      <c r="B761" s="696" t="s">
        <v>1358</v>
      </c>
      <c r="C761" s="696" t="s">
        <v>1359</v>
      </c>
      <c r="D761" s="698">
        <v>0</v>
      </c>
      <c r="E761" s="698">
        <v>173720</v>
      </c>
    </row>
    <row r="762" spans="1:6" x14ac:dyDescent="0.25">
      <c r="A762" s="835">
        <v>46177</v>
      </c>
      <c r="B762" s="1067" t="s">
        <v>1355</v>
      </c>
      <c r="C762" s="1067" t="s">
        <v>167</v>
      </c>
      <c r="D762" s="1068">
        <v>0</v>
      </c>
      <c r="E762" s="1068">
        <v>146450</v>
      </c>
      <c r="F762" s="18">
        <f>SUM(E759:E762)</f>
        <v>349460</v>
      </c>
    </row>
    <row r="763" spans="1:6" x14ac:dyDescent="0.25">
      <c r="A763" s="440">
        <v>46179</v>
      </c>
      <c r="B763" s="226" t="s">
        <v>1360</v>
      </c>
      <c r="C763" s="226" t="s">
        <v>1361</v>
      </c>
      <c r="E763" s="227">
        <v>16161</v>
      </c>
    </row>
    <row r="764" spans="1:6" x14ac:dyDescent="0.25">
      <c r="A764" s="440">
        <v>46181</v>
      </c>
      <c r="B764" s="75" t="s">
        <v>1372</v>
      </c>
      <c r="C764" s="75" t="s">
        <v>583</v>
      </c>
      <c r="D764" s="129"/>
      <c r="E764" s="79">
        <v>174528</v>
      </c>
    </row>
    <row r="765" spans="1:6" x14ac:dyDescent="0.25">
      <c r="B765" s="1071" t="s">
        <v>1465</v>
      </c>
      <c r="C765" s="1069"/>
      <c r="D765" s="1070"/>
      <c r="E765" s="714">
        <v>138976</v>
      </c>
    </row>
    <row r="766" spans="1:6" ht="20.25" customHeight="1" x14ac:dyDescent="0.25">
      <c r="A766" s="456">
        <v>46179</v>
      </c>
      <c r="B766" s="451" t="s">
        <v>1364</v>
      </c>
      <c r="C766" s="451" t="s">
        <v>1365</v>
      </c>
      <c r="D766" s="917">
        <v>0</v>
      </c>
      <c r="E766" s="917">
        <v>551525</v>
      </c>
      <c r="F766" s="18">
        <f>SUM(E763:E766)</f>
        <v>881190</v>
      </c>
    </row>
    <row r="767" spans="1:6" x14ac:dyDescent="0.25">
      <c r="A767" s="1007">
        <v>46183</v>
      </c>
      <c r="B767" s="1074" t="s">
        <v>1412</v>
      </c>
      <c r="C767" s="1074" t="s">
        <v>63</v>
      </c>
      <c r="D767" s="581">
        <v>0</v>
      </c>
      <c r="E767" s="581">
        <v>28280</v>
      </c>
    </row>
    <row r="768" spans="1:6" x14ac:dyDescent="0.25">
      <c r="A768" s="446">
        <v>46176</v>
      </c>
      <c r="B768" s="290" t="s">
        <v>1353</v>
      </c>
      <c r="C768" s="290" t="s">
        <v>364</v>
      </c>
      <c r="D768" s="292">
        <v>0</v>
      </c>
      <c r="E768" s="292">
        <v>24240</v>
      </c>
    </row>
    <row r="769" spans="1:6" x14ac:dyDescent="0.25">
      <c r="A769" s="1007">
        <v>46181</v>
      </c>
      <c r="B769" s="580" t="s">
        <v>1368</v>
      </c>
      <c r="C769" s="580" t="s">
        <v>160</v>
      </c>
      <c r="D769" s="581">
        <v>0</v>
      </c>
      <c r="E769" s="581">
        <v>14140</v>
      </c>
    </row>
    <row r="770" spans="1:6" x14ac:dyDescent="0.25">
      <c r="B770" s="996" t="s">
        <v>1466</v>
      </c>
      <c r="C770" s="1072"/>
      <c r="D770" s="1073"/>
      <c r="E770" s="686">
        <v>14140</v>
      </c>
    </row>
    <row r="771" spans="1:6" x14ac:dyDescent="0.25">
      <c r="B771" s="996" t="s">
        <v>1467</v>
      </c>
      <c r="C771" s="1072"/>
      <c r="D771" s="1073"/>
      <c r="E771" s="686">
        <v>14140</v>
      </c>
      <c r="F771" s="5">
        <f>SUM(E767:E771)</f>
        <v>94940</v>
      </c>
    </row>
    <row r="772" spans="1:6" x14ac:dyDescent="0.25">
      <c r="A772" s="1075">
        <v>46184</v>
      </c>
      <c r="B772" s="1076" t="s">
        <v>1420</v>
      </c>
      <c r="C772" s="1076" t="s">
        <v>1421</v>
      </c>
      <c r="D772" s="1077">
        <v>0</v>
      </c>
      <c r="E772" s="1077">
        <v>45248</v>
      </c>
    </row>
    <row r="773" spans="1:6" x14ac:dyDescent="0.25">
      <c r="A773" s="1075">
        <v>46183</v>
      </c>
      <c r="B773" s="1076" t="s">
        <v>1408</v>
      </c>
      <c r="C773" s="1076" t="s">
        <v>1367</v>
      </c>
      <c r="D773" s="1081">
        <v>0</v>
      </c>
      <c r="E773" s="1081">
        <v>39592</v>
      </c>
    </row>
    <row r="774" spans="1:6" x14ac:dyDescent="0.25">
      <c r="A774" s="1075">
        <v>46183</v>
      </c>
      <c r="B774" s="1079" t="s">
        <v>1409</v>
      </c>
      <c r="C774" s="1079" t="s">
        <v>364</v>
      </c>
      <c r="D774" s="1080">
        <v>0</v>
      </c>
      <c r="E774" s="1080">
        <v>20200</v>
      </c>
    </row>
    <row r="775" spans="1:6" x14ac:dyDescent="0.25">
      <c r="A775" s="1075">
        <v>46183</v>
      </c>
      <c r="B775" s="1076" t="s">
        <v>1411</v>
      </c>
      <c r="C775" s="1076" t="s">
        <v>218</v>
      </c>
      <c r="D775" s="1081"/>
      <c r="E775" s="1081">
        <v>45248</v>
      </c>
    </row>
    <row r="776" spans="1:6" x14ac:dyDescent="0.25">
      <c r="A776" s="440">
        <v>46177</v>
      </c>
      <c r="B776" s="75" t="s">
        <v>1356</v>
      </c>
      <c r="C776" s="75" t="s">
        <v>1357</v>
      </c>
      <c r="E776" s="79">
        <v>15150</v>
      </c>
      <c r="F776" s="5">
        <f>SUM(E772:E776)</f>
        <v>165438</v>
      </c>
    </row>
    <row r="777" spans="1:6" x14ac:dyDescent="0.25">
      <c r="B777" s="1084" t="s">
        <v>1468</v>
      </c>
      <c r="C777" s="640"/>
      <c r="D777" s="1085"/>
      <c r="E777" s="647">
        <v>28280</v>
      </c>
    </row>
    <row r="778" spans="1:6" x14ac:dyDescent="0.25">
      <c r="B778" s="1084" t="s">
        <v>1469</v>
      </c>
      <c r="C778" s="640"/>
      <c r="D778" s="1085"/>
      <c r="E778" s="647">
        <v>50904</v>
      </c>
    </row>
    <row r="779" spans="1:6" x14ac:dyDescent="0.25">
      <c r="A779" s="1082">
        <v>46184</v>
      </c>
      <c r="B779" s="643" t="s">
        <v>1414</v>
      </c>
      <c r="C779" s="643" t="s">
        <v>218</v>
      </c>
      <c r="D779" s="1083">
        <v>0</v>
      </c>
      <c r="E779" s="1083">
        <v>42420</v>
      </c>
    </row>
    <row r="780" spans="1:6" x14ac:dyDescent="0.25">
      <c r="A780" s="1082">
        <v>46181</v>
      </c>
      <c r="B780" s="1086" t="s">
        <v>1369</v>
      </c>
      <c r="C780" s="1086" t="s">
        <v>1112</v>
      </c>
      <c r="D780" s="1085"/>
      <c r="E780" s="1087">
        <v>63024</v>
      </c>
      <c r="F780" s="5">
        <f>SUM(E777:E780)</f>
        <v>184628</v>
      </c>
    </row>
    <row r="781" spans="1:6" x14ac:dyDescent="0.25">
      <c r="A781" s="1088">
        <v>46185</v>
      </c>
      <c r="B781" s="1089" t="s">
        <v>1426</v>
      </c>
      <c r="C781" s="1089" t="s">
        <v>147</v>
      </c>
      <c r="D781" s="1090">
        <v>0</v>
      </c>
      <c r="E781" s="1090">
        <v>16160</v>
      </c>
    </row>
    <row r="782" spans="1:6" x14ac:dyDescent="0.25">
      <c r="A782" s="1088">
        <v>46185</v>
      </c>
      <c r="B782" s="1089" t="s">
        <v>1427</v>
      </c>
      <c r="C782" s="1089" t="s">
        <v>1428</v>
      </c>
      <c r="D782" s="1090">
        <v>0</v>
      </c>
      <c r="E782" s="1090">
        <v>31512</v>
      </c>
    </row>
    <row r="783" spans="1:6" ht="30" x14ac:dyDescent="0.25">
      <c r="A783" s="1088">
        <v>46185</v>
      </c>
      <c r="B783" s="1093" t="s">
        <v>1429</v>
      </c>
      <c r="C783" s="1093" t="s">
        <v>626</v>
      </c>
      <c r="D783" s="1092">
        <v>0</v>
      </c>
      <c r="E783" s="1092">
        <v>28280</v>
      </c>
    </row>
    <row r="784" spans="1:6" x14ac:dyDescent="0.25">
      <c r="A784" s="1088">
        <v>46186</v>
      </c>
      <c r="B784" s="1091" t="s">
        <v>1430</v>
      </c>
      <c r="C784" s="1091" t="s">
        <v>364</v>
      </c>
      <c r="D784" s="1092">
        <v>0</v>
      </c>
      <c r="E784" s="1092">
        <v>30300</v>
      </c>
    </row>
    <row r="785" spans="1:6" x14ac:dyDescent="0.25">
      <c r="A785" s="1088">
        <v>46184</v>
      </c>
      <c r="B785" s="386" t="s">
        <v>1417</v>
      </c>
      <c r="C785" s="386" t="s">
        <v>1418</v>
      </c>
      <c r="D785" s="1092">
        <v>0</v>
      </c>
      <c r="E785" s="1092">
        <v>48480</v>
      </c>
    </row>
    <row r="786" spans="1:6" x14ac:dyDescent="0.25">
      <c r="A786" s="1088">
        <v>46183</v>
      </c>
      <c r="B786" s="386" t="s">
        <v>1410</v>
      </c>
      <c r="C786" s="386" t="s">
        <v>86</v>
      </c>
      <c r="D786" s="1094">
        <v>0</v>
      </c>
      <c r="E786" s="1094">
        <v>402262</v>
      </c>
    </row>
    <row r="787" spans="1:6" x14ac:dyDescent="0.25">
      <c r="A787" s="1088">
        <v>46188</v>
      </c>
      <c r="B787" s="1091" t="s">
        <v>1432</v>
      </c>
      <c r="C787" s="1091" t="s">
        <v>820</v>
      </c>
      <c r="D787" s="1092">
        <v>0</v>
      </c>
      <c r="E787" s="1092">
        <v>31512</v>
      </c>
    </row>
    <row r="788" spans="1:6" x14ac:dyDescent="0.25">
      <c r="A788" s="936">
        <v>46164</v>
      </c>
      <c r="B788" s="1091" t="s">
        <v>1299</v>
      </c>
      <c r="C788" s="1095" t="s">
        <v>842</v>
      </c>
      <c r="D788" s="718">
        <v>0</v>
      </c>
      <c r="E788" s="718">
        <v>74740</v>
      </c>
      <c r="F788" s="18">
        <f>SUM(E781:E788)</f>
        <v>663246</v>
      </c>
    </row>
    <row r="789" spans="1:6" x14ac:dyDescent="0.25">
      <c r="A789" s="1026">
        <v>46184</v>
      </c>
      <c r="B789" s="876" t="s">
        <v>1413</v>
      </c>
      <c r="C789" s="876" t="s">
        <v>842</v>
      </c>
      <c r="D789" s="140">
        <v>0</v>
      </c>
      <c r="E789" s="18">
        <v>37876</v>
      </c>
      <c r="F789" s="5">
        <f>E789</f>
        <v>37876</v>
      </c>
    </row>
    <row r="790" spans="1:6" x14ac:dyDescent="0.25">
      <c r="A790" s="1096">
        <v>46190</v>
      </c>
      <c r="B790" s="561" t="s">
        <v>1440</v>
      </c>
      <c r="C790" s="561" t="s">
        <v>847</v>
      </c>
      <c r="D790" s="1098">
        <v>0</v>
      </c>
      <c r="E790" s="1098">
        <v>488628</v>
      </c>
    </row>
    <row r="791" spans="1:6" x14ac:dyDescent="0.25">
      <c r="A791" s="1096">
        <v>46189</v>
      </c>
      <c r="B791" s="1097" t="s">
        <v>1435</v>
      </c>
      <c r="C791" s="1097" t="s">
        <v>48</v>
      </c>
      <c r="D791" s="1098">
        <v>0</v>
      </c>
      <c r="E791" s="1098">
        <v>14140</v>
      </c>
      <c r="F791" s="5">
        <f>E790+E791</f>
        <v>502768</v>
      </c>
    </row>
    <row r="792" spans="1:6" x14ac:dyDescent="0.25">
      <c r="A792" s="440">
        <v>46184</v>
      </c>
      <c r="B792" s="81" t="s">
        <v>1419</v>
      </c>
      <c r="C792" s="81" t="s">
        <v>46</v>
      </c>
      <c r="D792" s="148">
        <v>0</v>
      </c>
      <c r="E792" s="148">
        <v>68680</v>
      </c>
    </row>
    <row r="793" spans="1:6" x14ac:dyDescent="0.25">
      <c r="A793" s="440">
        <v>46187</v>
      </c>
      <c r="B793" s="81" t="s">
        <v>1431</v>
      </c>
      <c r="C793" s="81" t="s">
        <v>1193</v>
      </c>
      <c r="D793" s="148">
        <v>0</v>
      </c>
      <c r="E793" s="148">
        <v>37875</v>
      </c>
    </row>
    <row r="794" spans="1:6" x14ac:dyDescent="0.25">
      <c r="A794" s="440">
        <v>46189</v>
      </c>
      <c r="B794" s="75" t="s">
        <v>1434</v>
      </c>
      <c r="C794" s="75" t="s">
        <v>842</v>
      </c>
      <c r="D794" s="79">
        <v>0</v>
      </c>
      <c r="E794" s="79">
        <v>26260</v>
      </c>
    </row>
    <row r="795" spans="1:6" x14ac:dyDescent="0.25">
      <c r="A795" s="440">
        <v>46190</v>
      </c>
      <c r="B795" s="81" t="s">
        <v>1436</v>
      </c>
      <c r="C795" s="81" t="s">
        <v>147</v>
      </c>
      <c r="D795" s="1027">
        <v>0</v>
      </c>
      <c r="E795" s="148">
        <v>16161</v>
      </c>
    </row>
    <row r="796" spans="1:6" x14ac:dyDescent="0.25">
      <c r="A796" s="440">
        <v>46190</v>
      </c>
      <c r="B796" s="81" t="s">
        <v>1437</v>
      </c>
      <c r="C796" s="81" t="s">
        <v>1438</v>
      </c>
      <c r="D796" s="148">
        <v>0</v>
      </c>
      <c r="E796" s="152">
        <v>14140</v>
      </c>
    </row>
    <row r="797" spans="1:6" x14ac:dyDescent="0.25">
      <c r="A797" s="440">
        <v>46190</v>
      </c>
      <c r="B797" s="75" t="s">
        <v>1439</v>
      </c>
      <c r="C797" s="75" t="s">
        <v>46</v>
      </c>
      <c r="D797" s="79">
        <v>0</v>
      </c>
      <c r="E797" s="79">
        <v>99788</v>
      </c>
    </row>
    <row r="798" spans="1:6" x14ac:dyDescent="0.25">
      <c r="A798" s="440">
        <v>46191</v>
      </c>
      <c r="B798" s="81" t="s">
        <v>1446</v>
      </c>
      <c r="C798" s="81" t="s">
        <v>809</v>
      </c>
      <c r="D798" s="129"/>
      <c r="E798" s="148">
        <v>74336</v>
      </c>
    </row>
    <row r="799" spans="1:6" x14ac:dyDescent="0.25">
      <c r="A799" s="440">
        <v>46192</v>
      </c>
      <c r="B799" s="75" t="s">
        <v>1454</v>
      </c>
      <c r="C799" s="75" t="s">
        <v>538</v>
      </c>
      <c r="D799" s="79">
        <v>0</v>
      </c>
      <c r="E799" s="79">
        <v>24240</v>
      </c>
    </row>
    <row r="800" spans="1:6" x14ac:dyDescent="0.25">
      <c r="B800" s="1032" t="s">
        <v>1591</v>
      </c>
      <c r="C800" s="720"/>
      <c r="D800" s="1027"/>
      <c r="E800" s="152">
        <v>14140</v>
      </c>
    </row>
    <row r="801" spans="1:6" x14ac:dyDescent="0.25">
      <c r="B801" s="1028" t="s">
        <v>1592</v>
      </c>
      <c r="C801" s="720"/>
      <c r="D801" s="1027"/>
      <c r="E801" s="152">
        <v>14140</v>
      </c>
      <c r="F801" s="5"/>
    </row>
    <row r="802" spans="1:6" x14ac:dyDescent="0.25">
      <c r="A802" s="440">
        <v>46190</v>
      </c>
      <c r="B802" s="81" t="s">
        <v>1441</v>
      </c>
      <c r="C802" s="81" t="s">
        <v>1026</v>
      </c>
      <c r="D802" s="129"/>
      <c r="E802" s="148">
        <v>312696</v>
      </c>
      <c r="F802" s="5">
        <f>SUM(E792:E802)</f>
        <v>702456</v>
      </c>
    </row>
    <row r="803" spans="1:6" x14ac:dyDescent="0.25">
      <c r="A803" s="442">
        <v>46181</v>
      </c>
      <c r="B803" s="1079" t="s">
        <v>1370</v>
      </c>
      <c r="C803" s="1079" t="s">
        <v>1371</v>
      </c>
      <c r="D803" s="129"/>
      <c r="E803" s="1080">
        <v>2407300</v>
      </c>
    </row>
    <row r="804" spans="1:6" x14ac:dyDescent="0.25">
      <c r="A804" s="442">
        <v>46184</v>
      </c>
      <c r="B804" s="1079" t="s">
        <v>1415</v>
      </c>
      <c r="C804" s="1079" t="s">
        <v>1416</v>
      </c>
      <c r="D804" s="129"/>
      <c r="E804" s="1081">
        <v>78000</v>
      </c>
    </row>
    <row r="805" spans="1:6" ht="15.75" thickBot="1" x14ac:dyDescent="0.3">
      <c r="A805" s="442">
        <v>46193</v>
      </c>
      <c r="B805" s="626" t="s">
        <v>1464</v>
      </c>
      <c r="C805" s="626" t="s">
        <v>193</v>
      </c>
      <c r="D805" s="129"/>
      <c r="E805" s="1080">
        <v>31108</v>
      </c>
    </row>
    <row r="806" spans="1:6" ht="15.75" thickBot="1" x14ac:dyDescent="0.3">
      <c r="B806" s="1108" t="s">
        <v>1593</v>
      </c>
      <c r="C806" s="1109"/>
      <c r="D806" s="1078"/>
      <c r="E806" s="625">
        <v>20200</v>
      </c>
      <c r="F806" s="5">
        <f>SUM(E803:E806)</f>
        <v>2536608</v>
      </c>
    </row>
    <row r="807" spans="1:6" x14ac:dyDescent="0.25">
      <c r="A807" s="510">
        <v>46184</v>
      </c>
      <c r="B807" s="516" t="s">
        <v>1422</v>
      </c>
      <c r="C807" s="516" t="s">
        <v>1423</v>
      </c>
      <c r="D807" s="129"/>
      <c r="E807" s="318">
        <v>1170741</v>
      </c>
    </row>
    <row r="808" spans="1:6" x14ac:dyDescent="0.25">
      <c r="A808" s="510">
        <v>46190</v>
      </c>
      <c r="B808" s="516" t="s">
        <v>1442</v>
      </c>
      <c r="C808" s="516" t="s">
        <v>46</v>
      </c>
      <c r="D808" s="129"/>
      <c r="E808" s="318">
        <v>94536</v>
      </c>
    </row>
    <row r="809" spans="1:6" x14ac:dyDescent="0.25">
      <c r="A809" s="510">
        <v>46191</v>
      </c>
      <c r="B809" s="516" t="s">
        <v>1445</v>
      </c>
      <c r="C809" s="516" t="s">
        <v>46</v>
      </c>
      <c r="D809" s="129"/>
      <c r="E809" s="318">
        <v>78780</v>
      </c>
    </row>
    <row r="810" spans="1:6" x14ac:dyDescent="0.25">
      <c r="A810" s="510">
        <v>46191</v>
      </c>
      <c r="B810" s="516" t="s">
        <v>1449</v>
      </c>
      <c r="C810" s="516" t="s">
        <v>46</v>
      </c>
      <c r="D810" s="129"/>
      <c r="E810" s="318">
        <v>101000</v>
      </c>
    </row>
    <row r="811" spans="1:6" x14ac:dyDescent="0.25">
      <c r="A811" s="510">
        <v>46191</v>
      </c>
      <c r="B811" s="513" t="s">
        <v>1450</v>
      </c>
      <c r="C811" s="513" t="s">
        <v>46</v>
      </c>
      <c r="D811" s="129"/>
      <c r="E811" s="515">
        <v>94536</v>
      </c>
    </row>
    <row r="812" spans="1:6" x14ac:dyDescent="0.25">
      <c r="A812" s="510">
        <v>46192</v>
      </c>
      <c r="B812" s="516" t="s">
        <v>1455</v>
      </c>
      <c r="C812" s="516" t="s">
        <v>1311</v>
      </c>
      <c r="D812" s="129"/>
      <c r="E812" s="318">
        <v>24241</v>
      </c>
    </row>
    <row r="813" spans="1:6" x14ac:dyDescent="0.25">
      <c r="A813" s="510">
        <v>46193</v>
      </c>
      <c r="B813" s="513" t="s">
        <v>1461</v>
      </c>
      <c r="C813" s="513" t="s">
        <v>147</v>
      </c>
      <c r="D813" s="129"/>
      <c r="E813" s="515">
        <v>32322</v>
      </c>
    </row>
    <row r="814" spans="1:6" x14ac:dyDescent="0.25">
      <c r="B814" s="1110" t="s">
        <v>1594</v>
      </c>
      <c r="C814" s="1111"/>
      <c r="D814" s="1112"/>
      <c r="E814" s="704">
        <v>24240</v>
      </c>
      <c r="F814" s="5">
        <f>SUM(E807:E814)</f>
        <v>1620396</v>
      </c>
    </row>
    <row r="815" spans="1:6" x14ac:dyDescent="0.25">
      <c r="A815" s="785">
        <v>46191</v>
      </c>
      <c r="B815" s="711" t="s">
        <v>1444</v>
      </c>
      <c r="C815" s="711" t="s">
        <v>46</v>
      </c>
      <c r="D815" s="129"/>
      <c r="E815" s="712">
        <v>48480</v>
      </c>
    </row>
    <row r="816" spans="1:6" x14ac:dyDescent="0.25">
      <c r="A816" s="785">
        <v>46191</v>
      </c>
      <c r="B816" s="926" t="s">
        <v>1447</v>
      </c>
      <c r="C816" s="926" t="s">
        <v>1448</v>
      </c>
      <c r="D816" s="129"/>
      <c r="E816" s="925">
        <v>37876</v>
      </c>
    </row>
    <row r="817" spans="1:6" x14ac:dyDescent="0.25">
      <c r="A817" s="785">
        <v>46192</v>
      </c>
      <c r="B817" s="711" t="s">
        <v>1456</v>
      </c>
      <c r="C817" s="711" t="s">
        <v>48</v>
      </c>
      <c r="D817" s="129"/>
      <c r="E817" s="712">
        <v>37876</v>
      </c>
    </row>
    <row r="818" spans="1:6" x14ac:dyDescent="0.25">
      <c r="A818" s="787">
        <v>46195</v>
      </c>
      <c r="B818" s="711" t="s">
        <v>1476</v>
      </c>
      <c r="C818" s="711" t="s">
        <v>538</v>
      </c>
      <c r="D818" s="129"/>
      <c r="E818" s="712">
        <v>29088</v>
      </c>
      <c r="F818" s="5">
        <f>SUM(E815:E818)</f>
        <v>153320</v>
      </c>
    </row>
    <row r="819" spans="1:6" x14ac:dyDescent="0.25">
      <c r="A819" s="1113">
        <v>46193</v>
      </c>
      <c r="B819" s="970" t="s">
        <v>1462</v>
      </c>
      <c r="C819" s="970" t="s">
        <v>1026</v>
      </c>
      <c r="D819" s="129"/>
      <c r="E819" s="972">
        <v>121200</v>
      </c>
      <c r="F819" s="18"/>
    </row>
    <row r="820" spans="1:6" x14ac:dyDescent="0.25">
      <c r="A820" s="1113">
        <v>46193</v>
      </c>
      <c r="B820" s="973" t="s">
        <v>1463</v>
      </c>
      <c r="C820" s="973" t="s">
        <v>1268</v>
      </c>
      <c r="D820" s="129"/>
      <c r="E820" s="669">
        <v>75750</v>
      </c>
      <c r="F820" s="18"/>
    </row>
    <row r="821" spans="1:6" x14ac:dyDescent="0.25">
      <c r="A821" s="969">
        <v>46195</v>
      </c>
      <c r="B821" s="973" t="s">
        <v>1474</v>
      </c>
      <c r="C821" s="973" t="s">
        <v>1093</v>
      </c>
      <c r="D821" s="129"/>
      <c r="E821" s="669">
        <v>149985</v>
      </c>
      <c r="F821" s="665"/>
    </row>
    <row r="822" spans="1:6" x14ac:dyDescent="0.25">
      <c r="A822" s="1113">
        <v>46192</v>
      </c>
      <c r="B822" s="970" t="s">
        <v>1453</v>
      </c>
      <c r="C822" s="970" t="s">
        <v>205</v>
      </c>
      <c r="D822" s="129"/>
      <c r="E822" s="972">
        <v>121200</v>
      </c>
    </row>
    <row r="823" spans="1:6" x14ac:dyDescent="0.25">
      <c r="A823" s="1113">
        <v>46193</v>
      </c>
      <c r="B823" s="973" t="s">
        <v>1459</v>
      </c>
      <c r="C823" s="973" t="s">
        <v>70</v>
      </c>
      <c r="D823" s="129"/>
      <c r="E823" s="669">
        <v>40400</v>
      </c>
      <c r="F823" s="5">
        <f>SUM(E819:E823)</f>
        <v>508535</v>
      </c>
    </row>
    <row r="824" spans="1:6" x14ac:dyDescent="0.25">
      <c r="A824" s="446">
        <v>46193</v>
      </c>
      <c r="B824" s="580" t="s">
        <v>1460</v>
      </c>
      <c r="C824" s="580" t="s">
        <v>46</v>
      </c>
      <c r="D824" s="129"/>
      <c r="E824" s="581">
        <v>57772</v>
      </c>
    </row>
    <row r="825" spans="1:6" x14ac:dyDescent="0.25">
      <c r="A825" s="955">
        <v>46195</v>
      </c>
      <c r="B825" s="1074" t="s">
        <v>1477</v>
      </c>
      <c r="C825" s="1074" t="s">
        <v>86</v>
      </c>
      <c r="D825" s="129"/>
      <c r="E825" s="581">
        <v>90900</v>
      </c>
      <c r="F825" s="5">
        <f>SUM(E824:E825)</f>
        <v>148672</v>
      </c>
    </row>
    <row r="826" spans="1:6" x14ac:dyDescent="0.25">
      <c r="A826" s="464">
        <v>46192</v>
      </c>
      <c r="B826" s="459" t="s">
        <v>1452</v>
      </c>
      <c r="C826" s="459" t="s">
        <v>147</v>
      </c>
      <c r="D826" s="129"/>
      <c r="E826" s="941">
        <v>34340</v>
      </c>
    </row>
    <row r="827" spans="1:6" x14ac:dyDescent="0.25">
      <c r="A827" s="766">
        <v>46195</v>
      </c>
      <c r="B827" s="459" t="s">
        <v>1475</v>
      </c>
      <c r="C827" s="459" t="s">
        <v>147</v>
      </c>
      <c r="D827" s="129"/>
      <c r="E827" s="941">
        <v>34340</v>
      </c>
    </row>
    <row r="828" spans="1:6" x14ac:dyDescent="0.25">
      <c r="A828" s="766">
        <v>46197</v>
      </c>
      <c r="B828" s="459" t="s">
        <v>1482</v>
      </c>
      <c r="C828" s="459" t="s">
        <v>842</v>
      </c>
      <c r="D828" s="129"/>
      <c r="E828" s="941">
        <v>14140</v>
      </c>
    </row>
    <row r="829" spans="1:6" x14ac:dyDescent="0.25">
      <c r="A829" s="766">
        <v>46197</v>
      </c>
      <c r="B829" s="459" t="s">
        <v>1483</v>
      </c>
      <c r="C829" s="459" t="s">
        <v>1484</v>
      </c>
      <c r="D829" s="129"/>
      <c r="E829" s="941">
        <v>106656</v>
      </c>
    </row>
    <row r="830" spans="1:6" x14ac:dyDescent="0.25">
      <c r="A830" s="766">
        <v>46197</v>
      </c>
      <c r="B830" s="459" t="s">
        <v>1486</v>
      </c>
      <c r="C830" s="459" t="s">
        <v>1487</v>
      </c>
      <c r="D830" s="129"/>
      <c r="E830" s="941">
        <v>80800</v>
      </c>
    </row>
    <row r="831" spans="1:6" x14ac:dyDescent="0.25">
      <c r="B831" s="1114" t="s">
        <v>1595</v>
      </c>
      <c r="C831" s="473"/>
      <c r="D831" s="1115"/>
      <c r="E831" s="763">
        <v>14140</v>
      </c>
    </row>
    <row r="832" spans="1:6" x14ac:dyDescent="0.25">
      <c r="B832" s="1114" t="s">
        <v>1596</v>
      </c>
      <c r="C832" s="473"/>
      <c r="D832" s="1115"/>
      <c r="E832" s="763">
        <v>14140</v>
      </c>
      <c r="F832" s="5">
        <f>SUM(E826:E832)</f>
        <v>298556</v>
      </c>
    </row>
    <row r="833" spans="1:6" x14ac:dyDescent="0.25">
      <c r="A833" s="1116">
        <v>46199</v>
      </c>
      <c r="B833" s="209" t="s">
        <v>1495</v>
      </c>
      <c r="C833" s="209" t="s">
        <v>135</v>
      </c>
      <c r="D833" s="129"/>
      <c r="E833" s="1119">
        <v>31512</v>
      </c>
    </row>
    <row r="834" spans="1:6" x14ac:dyDescent="0.25">
      <c r="A834" s="1116">
        <v>46199</v>
      </c>
      <c r="B834" s="211" t="s">
        <v>1496</v>
      </c>
      <c r="C834" s="211" t="s">
        <v>1359</v>
      </c>
      <c r="D834" s="129"/>
      <c r="E834" s="753">
        <v>173720</v>
      </c>
    </row>
    <row r="835" spans="1:6" x14ac:dyDescent="0.25">
      <c r="A835" s="1116">
        <v>46198</v>
      </c>
      <c r="B835" s="1118" t="s">
        <v>1489</v>
      </c>
      <c r="C835" s="1118" t="s">
        <v>517</v>
      </c>
      <c r="D835" s="129"/>
      <c r="E835" s="1119">
        <v>18180</v>
      </c>
    </row>
    <row r="836" spans="1:6" x14ac:dyDescent="0.25">
      <c r="A836" s="1116">
        <v>46198</v>
      </c>
      <c r="B836" s="1120" t="s">
        <v>1490</v>
      </c>
      <c r="C836" s="1120" t="s">
        <v>135</v>
      </c>
      <c r="D836" s="129"/>
      <c r="E836" s="753">
        <v>24240</v>
      </c>
    </row>
    <row r="837" spans="1:6" x14ac:dyDescent="0.25">
      <c r="A837" s="756">
        <v>46193</v>
      </c>
      <c r="B837" s="211" t="s">
        <v>1458</v>
      </c>
      <c r="C837" s="211" t="s">
        <v>842</v>
      </c>
      <c r="D837" s="129"/>
      <c r="E837" s="753">
        <v>42420</v>
      </c>
    </row>
    <row r="838" spans="1:6" x14ac:dyDescent="0.25">
      <c r="A838" s="1116">
        <v>46197</v>
      </c>
      <c r="B838" s="211" t="s">
        <v>1480</v>
      </c>
      <c r="C838" s="211" t="s">
        <v>147</v>
      </c>
      <c r="D838" s="129"/>
      <c r="E838" s="753">
        <v>16160</v>
      </c>
      <c r="F838" s="5"/>
    </row>
    <row r="839" spans="1:6" x14ac:dyDescent="0.25">
      <c r="A839" s="1116">
        <v>46198</v>
      </c>
      <c r="B839" s="1174" t="s">
        <v>1491</v>
      </c>
      <c r="C839" s="1174" t="s">
        <v>135</v>
      </c>
      <c r="D839" s="1117"/>
      <c r="E839" s="753">
        <v>29088</v>
      </c>
    </row>
    <row r="840" spans="1:6" x14ac:dyDescent="0.25">
      <c r="B840" s="1121" t="s">
        <v>1597</v>
      </c>
      <c r="C840" s="754"/>
      <c r="D840" s="1117"/>
      <c r="E840" s="755">
        <v>14140</v>
      </c>
      <c r="F840" s="5">
        <f>SUM(E833:E840)</f>
        <v>349460</v>
      </c>
    </row>
    <row r="841" spans="1:6" x14ac:dyDescent="0.25">
      <c r="A841" s="840">
        <v>46196</v>
      </c>
      <c r="B841" s="1097" t="s">
        <v>1478</v>
      </c>
      <c r="C841" s="1097" t="s">
        <v>1479</v>
      </c>
      <c r="D841" s="129"/>
      <c r="E841" s="1123">
        <v>25250</v>
      </c>
    </row>
    <row r="842" spans="1:6" x14ac:dyDescent="0.25">
      <c r="A842" s="840">
        <v>46197</v>
      </c>
      <c r="B842" s="561" t="s">
        <v>1485</v>
      </c>
      <c r="C842" s="561" t="s">
        <v>46</v>
      </c>
      <c r="D842" s="129"/>
      <c r="E842" s="630">
        <v>189880</v>
      </c>
    </row>
    <row r="843" spans="1:6" x14ac:dyDescent="0.25">
      <c r="A843" s="840">
        <v>46197</v>
      </c>
      <c r="B843" s="1097" t="s">
        <v>1488</v>
      </c>
      <c r="C843" s="1097" t="s">
        <v>135</v>
      </c>
      <c r="D843" s="129"/>
      <c r="E843" s="1122">
        <v>24240</v>
      </c>
      <c r="F843" s="5">
        <f>SUM(E841:E843)</f>
        <v>239370</v>
      </c>
    </row>
    <row r="844" spans="1:6" x14ac:dyDescent="0.25">
      <c r="A844" s="955">
        <v>46197</v>
      </c>
      <c r="B844" s="279" t="s">
        <v>1481</v>
      </c>
      <c r="C844" s="279" t="s">
        <v>48</v>
      </c>
      <c r="D844" s="129"/>
      <c r="E844" s="976">
        <v>14140</v>
      </c>
    </row>
    <row r="845" spans="1:6" x14ac:dyDescent="0.25">
      <c r="A845" s="955">
        <v>46199</v>
      </c>
      <c r="B845" s="279" t="s">
        <v>1497</v>
      </c>
      <c r="C845" s="279" t="s">
        <v>425</v>
      </c>
      <c r="D845" s="129"/>
      <c r="E845" s="1124">
        <v>76356</v>
      </c>
      <c r="F845" s="5">
        <f>SUM(E844:E845)</f>
        <v>90496</v>
      </c>
    </row>
    <row r="846" spans="1:6" ht="15.75" thickBot="1" x14ac:dyDescent="0.3">
      <c r="B846" s="142" t="s">
        <v>1598</v>
      </c>
      <c r="E846" s="18">
        <v>271792</v>
      </c>
      <c r="F846" s="5">
        <f>E846</f>
        <v>271792</v>
      </c>
    </row>
    <row r="847" spans="1:6" ht="15.75" thickBot="1" x14ac:dyDescent="0.3">
      <c r="A847" s="688"/>
      <c r="B847" s="1134" t="s">
        <v>1599</v>
      </c>
      <c r="C847" s="1134"/>
      <c r="D847" s="688"/>
      <c r="E847" s="665">
        <v>75700</v>
      </c>
    </row>
    <row r="848" spans="1:6" x14ac:dyDescent="0.25">
      <c r="A848" s="744">
        <v>46200</v>
      </c>
      <c r="B848" s="855" t="s">
        <v>1494</v>
      </c>
      <c r="C848" s="855" t="s">
        <v>135</v>
      </c>
      <c r="D848" s="129"/>
      <c r="E848" s="76">
        <v>24240</v>
      </c>
    </row>
    <row r="849" spans="1:6" x14ac:dyDescent="0.25">
      <c r="A849" s="969">
        <v>46203</v>
      </c>
      <c r="B849" s="1132" t="s">
        <v>1501</v>
      </c>
      <c r="C849" s="1132" t="s">
        <v>160</v>
      </c>
      <c r="D849" s="129"/>
      <c r="E849" s="1133">
        <v>82012</v>
      </c>
      <c r="F849" s="665">
        <f>SUM(E847:E849)</f>
        <v>181952</v>
      </c>
    </row>
    <row r="850" spans="1:6" x14ac:dyDescent="0.25">
      <c r="A850" s="724"/>
      <c r="B850" s="727" t="s">
        <v>1600</v>
      </c>
      <c r="C850" s="724"/>
      <c r="D850" s="724"/>
      <c r="E850" s="479">
        <v>18180</v>
      </c>
    </row>
    <row r="851" spans="1:6" x14ac:dyDescent="0.25">
      <c r="A851" s="724"/>
      <c r="B851" s="1137" t="s">
        <v>1601</v>
      </c>
      <c r="C851" s="724"/>
      <c r="D851" s="724"/>
      <c r="E851" s="479">
        <v>24240</v>
      </c>
    </row>
    <row r="852" spans="1:6" x14ac:dyDescent="0.25">
      <c r="A852" s="724"/>
      <c r="B852" s="1137" t="s">
        <v>1602</v>
      </c>
      <c r="C852" s="724"/>
      <c r="D852" s="724"/>
      <c r="E852" s="724">
        <v>14139</v>
      </c>
    </row>
    <row r="853" spans="1:6" x14ac:dyDescent="0.25">
      <c r="A853" s="1135">
        <v>46202</v>
      </c>
      <c r="B853" s="726" t="s">
        <v>1498</v>
      </c>
      <c r="C853" s="726" t="s">
        <v>48</v>
      </c>
      <c r="D853" s="1136">
        <v>0</v>
      </c>
      <c r="E853" s="1136">
        <v>24240</v>
      </c>
    </row>
    <row r="854" spans="1:6" x14ac:dyDescent="0.25">
      <c r="A854" s="1135">
        <v>46204</v>
      </c>
      <c r="B854" s="483" t="s">
        <v>1502</v>
      </c>
      <c r="C854" s="483" t="s">
        <v>842</v>
      </c>
      <c r="D854" s="129"/>
      <c r="E854" s="484">
        <v>15150</v>
      </c>
    </row>
    <row r="855" spans="1:6" x14ac:dyDescent="0.25">
      <c r="A855" s="744">
        <v>46200</v>
      </c>
      <c r="B855" s="854" t="s">
        <v>1492</v>
      </c>
      <c r="C855" s="854" t="s">
        <v>1493</v>
      </c>
      <c r="D855" s="129"/>
      <c r="E855" s="541">
        <v>36360</v>
      </c>
      <c r="F855" s="5">
        <f>SUM(E850:E855)</f>
        <v>132309</v>
      </c>
    </row>
    <row r="856" spans="1:6" x14ac:dyDescent="0.25">
      <c r="A856" s="766">
        <v>46204</v>
      </c>
      <c r="B856" s="764" t="s">
        <v>1504</v>
      </c>
      <c r="C856" s="764" t="s">
        <v>842</v>
      </c>
      <c r="D856" s="129"/>
      <c r="E856" s="1139">
        <v>26260</v>
      </c>
    </row>
    <row r="857" spans="1:6" x14ac:dyDescent="0.25">
      <c r="A857" s="766">
        <v>46205</v>
      </c>
      <c r="B857" s="962" t="s">
        <v>1505</v>
      </c>
      <c r="C857" s="962" t="s">
        <v>842</v>
      </c>
      <c r="D857" s="129"/>
      <c r="E857" s="941">
        <v>14140</v>
      </c>
    </row>
    <row r="858" spans="1:6" x14ac:dyDescent="0.25">
      <c r="A858" s="766">
        <v>46205</v>
      </c>
      <c r="B858" s="459" t="s">
        <v>1506</v>
      </c>
      <c r="C858" s="459" t="s">
        <v>842</v>
      </c>
      <c r="D858" s="129"/>
      <c r="E858" s="1140">
        <v>20200</v>
      </c>
    </row>
    <row r="859" spans="1:6" x14ac:dyDescent="0.25">
      <c r="A859" s="766">
        <v>46206</v>
      </c>
      <c r="B859" s="612" t="s">
        <v>1511</v>
      </c>
      <c r="C859" s="612" t="s">
        <v>538</v>
      </c>
      <c r="D859" s="129"/>
      <c r="E859" s="1139">
        <v>18180</v>
      </c>
    </row>
    <row r="860" spans="1:6" ht="15.75" thickBot="1" x14ac:dyDescent="0.3">
      <c r="A860" s="766">
        <v>46207</v>
      </c>
      <c r="B860" s="1138" t="s">
        <v>1515</v>
      </c>
      <c r="C860" s="1138" t="s">
        <v>538</v>
      </c>
      <c r="D860" s="129"/>
      <c r="E860" s="765">
        <v>24241</v>
      </c>
      <c r="F860" s="5">
        <f>SUM(E856:E860)</f>
        <v>103021</v>
      </c>
    </row>
    <row r="861" spans="1:6" ht="15.75" thickBot="1" x14ac:dyDescent="0.3">
      <c r="A861" s="1050"/>
      <c r="B861" s="1047" t="s">
        <v>1603</v>
      </c>
      <c r="C861" s="1047"/>
      <c r="D861" s="1050"/>
      <c r="E861" s="507">
        <v>15150</v>
      </c>
    </row>
    <row r="862" spans="1:6" x14ac:dyDescent="0.25">
      <c r="A862" s="1051">
        <v>46203</v>
      </c>
      <c r="B862" s="265" t="s">
        <v>1499</v>
      </c>
      <c r="C862" s="265" t="s">
        <v>364</v>
      </c>
      <c r="D862" s="129"/>
      <c r="E862" s="1141">
        <v>40400</v>
      </c>
    </row>
    <row r="863" spans="1:6" x14ac:dyDescent="0.25">
      <c r="A863" s="1051">
        <v>46204</v>
      </c>
      <c r="B863" s="265" t="s">
        <v>1503</v>
      </c>
      <c r="C863" s="265" t="s">
        <v>842</v>
      </c>
      <c r="D863" s="129"/>
      <c r="E863" s="1141">
        <v>20200</v>
      </c>
    </row>
    <row r="864" spans="1:6" ht="15.75" thickBot="1" x14ac:dyDescent="0.3">
      <c r="A864" s="1051">
        <v>46206</v>
      </c>
      <c r="B864" s="261" t="s">
        <v>1508</v>
      </c>
      <c r="C864" s="261" t="s">
        <v>842</v>
      </c>
      <c r="D864" s="129"/>
      <c r="E864" s="263">
        <v>14140</v>
      </c>
      <c r="F864" s="5">
        <f>SUM(E861:E864)</f>
        <v>89890</v>
      </c>
    </row>
    <row r="865" spans="1:6" ht="15.75" thickBot="1" x14ac:dyDescent="0.3">
      <c r="A865" s="1111"/>
      <c r="B865" s="1144" t="s">
        <v>1604</v>
      </c>
      <c r="C865" s="1144"/>
      <c r="D865" s="1111"/>
      <c r="E865" s="704">
        <v>263610</v>
      </c>
    </row>
    <row r="866" spans="1:6" x14ac:dyDescent="0.25">
      <c r="A866" s="1111"/>
      <c r="B866" s="1110" t="s">
        <v>1605</v>
      </c>
      <c r="C866" s="1145"/>
      <c r="D866" s="1145"/>
      <c r="E866" s="1146">
        <v>18180</v>
      </c>
    </row>
    <row r="867" spans="1:6" x14ac:dyDescent="0.25">
      <c r="A867" s="1111"/>
      <c r="B867" s="1147" t="s">
        <v>1606</v>
      </c>
      <c r="C867" s="1111"/>
      <c r="D867" s="1111"/>
      <c r="E867" s="704">
        <v>14140</v>
      </c>
    </row>
    <row r="868" spans="1:6" x14ac:dyDescent="0.25">
      <c r="A868" s="803">
        <v>46203</v>
      </c>
      <c r="B868" s="516" t="s">
        <v>1500</v>
      </c>
      <c r="C868" s="516" t="s">
        <v>147</v>
      </c>
      <c r="D868" s="129"/>
      <c r="E868" s="1148">
        <v>109888</v>
      </c>
    </row>
    <row r="869" spans="1:6" x14ac:dyDescent="0.25">
      <c r="A869" s="803">
        <v>46205</v>
      </c>
      <c r="B869" s="1142" t="s">
        <v>1507</v>
      </c>
      <c r="C869" s="1142" t="s">
        <v>86</v>
      </c>
      <c r="D869" s="129"/>
      <c r="E869" s="1143">
        <v>684087</v>
      </c>
    </row>
    <row r="870" spans="1:6" x14ac:dyDescent="0.25">
      <c r="A870" s="803">
        <v>46206</v>
      </c>
      <c r="B870" s="513" t="s">
        <v>1509</v>
      </c>
      <c r="C870" s="513" t="s">
        <v>842</v>
      </c>
      <c r="D870" s="129"/>
      <c r="E870" s="515">
        <v>15150</v>
      </c>
    </row>
    <row r="871" spans="1:6" x14ac:dyDescent="0.25">
      <c r="A871" s="803">
        <v>46206</v>
      </c>
      <c r="B871" s="516" t="s">
        <v>1510</v>
      </c>
      <c r="C871" s="516" t="s">
        <v>135</v>
      </c>
      <c r="D871" s="129"/>
      <c r="E871" s="318">
        <v>20000</v>
      </c>
    </row>
    <row r="872" spans="1:6" ht="30" x14ac:dyDescent="0.25">
      <c r="A872" s="803">
        <v>46209</v>
      </c>
      <c r="B872" s="513" t="s">
        <v>1517</v>
      </c>
      <c r="C872" s="513" t="s">
        <v>714</v>
      </c>
      <c r="D872" s="129"/>
      <c r="E872" s="515">
        <v>24240</v>
      </c>
      <c r="F872" s="18">
        <f>SUM(E865:E872)</f>
        <v>1149295</v>
      </c>
    </row>
    <row r="873" spans="1:6" x14ac:dyDescent="0.25">
      <c r="A873" s="929"/>
      <c r="B873" s="1015" t="s">
        <v>1607</v>
      </c>
      <c r="C873" s="929"/>
      <c r="D873" s="929"/>
      <c r="E873" s="932">
        <v>20200</v>
      </c>
    </row>
    <row r="874" spans="1:6" ht="30" x14ac:dyDescent="0.25">
      <c r="A874" s="787">
        <v>46210</v>
      </c>
      <c r="B874" s="1149" t="s">
        <v>1521</v>
      </c>
      <c r="C874" s="1149" t="s">
        <v>626</v>
      </c>
      <c r="D874" s="129"/>
      <c r="E874" s="925">
        <v>28280</v>
      </c>
    </row>
    <row r="875" spans="1:6" x14ac:dyDescent="0.25">
      <c r="A875" s="787">
        <v>46209</v>
      </c>
      <c r="B875" s="1150" t="s">
        <v>1518</v>
      </c>
      <c r="C875" s="1150" t="s">
        <v>842</v>
      </c>
      <c r="D875" s="129"/>
      <c r="E875" s="1150">
        <v>20200</v>
      </c>
    </row>
    <row r="876" spans="1:6" x14ac:dyDescent="0.25">
      <c r="A876" s="787">
        <v>46207</v>
      </c>
      <c r="B876" s="1149" t="s">
        <v>1512</v>
      </c>
      <c r="C876" s="1149" t="s">
        <v>826</v>
      </c>
      <c r="D876" s="129"/>
      <c r="E876" s="925">
        <v>265832</v>
      </c>
    </row>
    <row r="877" spans="1:6" x14ac:dyDescent="0.25">
      <c r="A877" s="787">
        <v>46207</v>
      </c>
      <c r="B877" s="1150" t="s">
        <v>1513</v>
      </c>
      <c r="C877" s="1150" t="s">
        <v>1206</v>
      </c>
      <c r="D877" s="129"/>
      <c r="E877" s="712">
        <v>28278</v>
      </c>
      <c r="F877" s="5">
        <f>SUM(E873:E877)</f>
        <v>362790</v>
      </c>
    </row>
    <row r="878" spans="1:6" x14ac:dyDescent="0.25">
      <c r="A878" s="955">
        <v>46210</v>
      </c>
      <c r="B878" s="1152" t="s">
        <v>1520</v>
      </c>
      <c r="C878" s="1152" t="s">
        <v>147</v>
      </c>
      <c r="D878" s="129"/>
      <c r="E878" s="976">
        <v>14140</v>
      </c>
    </row>
    <row r="879" spans="1:6" x14ac:dyDescent="0.25">
      <c r="A879" s="955">
        <v>46211</v>
      </c>
      <c r="B879" s="1074" t="s">
        <v>1526</v>
      </c>
      <c r="C879" s="1074" t="s">
        <v>63</v>
      </c>
      <c r="D879" s="129"/>
      <c r="E879" s="1151">
        <v>28278</v>
      </c>
      <c r="F879" s="5">
        <f>SUM(E878:E879)</f>
        <v>42418</v>
      </c>
    </row>
    <row r="880" spans="1:6" x14ac:dyDescent="0.25">
      <c r="A880" s="969">
        <v>46210</v>
      </c>
      <c r="B880" s="1153" t="s">
        <v>1522</v>
      </c>
      <c r="C880" s="1153" t="s">
        <v>1184</v>
      </c>
      <c r="D880" s="129"/>
      <c r="E880" s="669">
        <v>236340</v>
      </c>
    </row>
    <row r="881" spans="1:6" x14ac:dyDescent="0.25">
      <c r="A881" s="969">
        <v>46210</v>
      </c>
      <c r="B881" s="1154" t="s">
        <v>1523</v>
      </c>
      <c r="C881" s="1154" t="s">
        <v>1184</v>
      </c>
      <c r="D881" s="129"/>
      <c r="E881" s="972">
        <v>236340</v>
      </c>
    </row>
    <row r="882" spans="1:6" x14ac:dyDescent="0.25">
      <c r="A882" s="969">
        <v>46210</v>
      </c>
      <c r="B882" s="1157" t="s">
        <v>1524</v>
      </c>
      <c r="C882" s="1157" t="s">
        <v>1089</v>
      </c>
      <c r="D882" s="129"/>
      <c r="E882" s="1156">
        <v>448440</v>
      </c>
    </row>
    <row r="883" spans="1:6" x14ac:dyDescent="0.25">
      <c r="A883" s="969">
        <v>46212</v>
      </c>
      <c r="B883" s="1154" t="s">
        <v>1527</v>
      </c>
      <c r="C883" s="1154" t="s">
        <v>86</v>
      </c>
      <c r="D883" s="129"/>
      <c r="E883" s="972">
        <v>31512</v>
      </c>
    </row>
    <row r="884" spans="1:6" x14ac:dyDescent="0.25">
      <c r="A884" s="969">
        <v>46212</v>
      </c>
      <c r="B884" s="1153" t="s">
        <v>1528</v>
      </c>
      <c r="C884" s="1153" t="s">
        <v>218</v>
      </c>
      <c r="D884" s="129"/>
      <c r="E884" s="669">
        <v>28280</v>
      </c>
    </row>
    <row r="885" spans="1:6" x14ac:dyDescent="0.25">
      <c r="A885" s="969">
        <v>46213</v>
      </c>
      <c r="B885" s="1154" t="s">
        <v>1530</v>
      </c>
      <c r="C885" s="1154" t="s">
        <v>842</v>
      </c>
      <c r="D885" s="129"/>
      <c r="E885" s="972">
        <v>15150</v>
      </c>
    </row>
    <row r="886" spans="1:6" x14ac:dyDescent="0.25">
      <c r="A886" s="969">
        <v>46213</v>
      </c>
      <c r="B886" s="1153" t="s">
        <v>1533</v>
      </c>
      <c r="C886" s="1153" t="s">
        <v>517</v>
      </c>
      <c r="D886" s="129"/>
      <c r="E886" s="669">
        <v>36360</v>
      </c>
      <c r="F886" s="5"/>
    </row>
    <row r="887" spans="1:6" x14ac:dyDescent="0.25">
      <c r="A887" s="969">
        <v>46207</v>
      </c>
      <c r="B887" s="1154" t="s">
        <v>1514</v>
      </c>
      <c r="C887" s="1154" t="s">
        <v>538</v>
      </c>
      <c r="D887" s="129"/>
      <c r="E887" s="972">
        <v>72720</v>
      </c>
    </row>
    <row r="888" spans="1:6" x14ac:dyDescent="0.25">
      <c r="A888" s="969">
        <v>46208</v>
      </c>
      <c r="B888" s="1155" t="s">
        <v>1516</v>
      </c>
      <c r="C888" s="1155" t="s">
        <v>669</v>
      </c>
      <c r="D888" s="129"/>
      <c r="E888" s="1156">
        <v>50502</v>
      </c>
      <c r="F888" s="5">
        <f>SUM(E880:E888)</f>
        <v>1155644</v>
      </c>
    </row>
    <row r="889" spans="1:6" x14ac:dyDescent="0.25">
      <c r="A889" s="866">
        <v>46212</v>
      </c>
      <c r="B889" s="1158" t="s">
        <v>1529</v>
      </c>
      <c r="C889" s="1158" t="s">
        <v>538</v>
      </c>
      <c r="D889" s="129"/>
      <c r="E889" s="865">
        <v>33936</v>
      </c>
    </row>
    <row r="890" spans="1:6" ht="30" x14ac:dyDescent="0.25">
      <c r="A890" s="866">
        <v>46213</v>
      </c>
      <c r="B890" s="868" t="s">
        <v>1532</v>
      </c>
      <c r="C890" s="868" t="s">
        <v>753</v>
      </c>
      <c r="D890" s="129"/>
      <c r="E890" s="869">
        <v>142410</v>
      </c>
      <c r="F890" s="5">
        <f>SUM(E889:E890)</f>
        <v>176346</v>
      </c>
    </row>
    <row r="891" spans="1:6" x14ac:dyDescent="0.25">
      <c r="A891" s="1072"/>
      <c r="B891" s="1159" t="s">
        <v>1608</v>
      </c>
      <c r="C891" s="1072"/>
      <c r="D891" s="1072"/>
      <c r="E891" s="686">
        <v>14139</v>
      </c>
    </row>
    <row r="892" spans="1:6" x14ac:dyDescent="0.25">
      <c r="A892" s="1072"/>
      <c r="B892" s="996" t="s">
        <v>1609</v>
      </c>
      <c r="C892" s="1072"/>
      <c r="D892" s="1072"/>
      <c r="E892" s="686">
        <v>14140</v>
      </c>
    </row>
    <row r="893" spans="1:6" x14ac:dyDescent="0.25">
      <c r="A893" s="955">
        <v>46213</v>
      </c>
      <c r="B893" s="1152" t="s">
        <v>1531</v>
      </c>
      <c r="C893" s="1152" t="s">
        <v>842</v>
      </c>
      <c r="D893" s="129"/>
      <c r="E893" s="976">
        <v>14139</v>
      </c>
    </row>
    <row r="894" spans="1:6" x14ac:dyDescent="0.25">
      <c r="A894" s="955">
        <v>46214</v>
      </c>
      <c r="B894" s="1008" t="s">
        <v>1536</v>
      </c>
      <c r="C894" s="1008" t="s">
        <v>1537</v>
      </c>
      <c r="D894" s="129"/>
      <c r="E894" s="1161">
        <v>40400</v>
      </c>
    </row>
    <row r="895" spans="1:6" ht="30" x14ac:dyDescent="0.25">
      <c r="A895" s="955">
        <v>46217</v>
      </c>
      <c r="B895" s="1160" t="s">
        <v>1545</v>
      </c>
      <c r="C895" s="1160" t="s">
        <v>1546</v>
      </c>
      <c r="D895" s="129"/>
      <c r="E895" s="581">
        <v>759318</v>
      </c>
      <c r="F895" s="5">
        <f>SUM(E891:E895)</f>
        <v>842136</v>
      </c>
    </row>
    <row r="896" spans="1:6" x14ac:dyDescent="0.25">
      <c r="A896" s="840">
        <v>46218</v>
      </c>
      <c r="B896" s="1162" t="s">
        <v>1557</v>
      </c>
      <c r="C896" s="1162" t="s">
        <v>842</v>
      </c>
      <c r="D896" s="129"/>
      <c r="E896" s="1122">
        <v>15150</v>
      </c>
    </row>
    <row r="897" spans="1:6" x14ac:dyDescent="0.25">
      <c r="A897" s="840">
        <v>46218</v>
      </c>
      <c r="B897" s="1163" t="s">
        <v>1555</v>
      </c>
      <c r="C897" s="1163" t="s">
        <v>135</v>
      </c>
      <c r="D897" s="129"/>
      <c r="E897" s="563">
        <v>33936</v>
      </c>
    </row>
    <row r="898" spans="1:6" x14ac:dyDescent="0.25">
      <c r="A898" s="840">
        <v>46217</v>
      </c>
      <c r="B898" s="633" t="s">
        <v>1551</v>
      </c>
      <c r="C898" s="633" t="s">
        <v>1552</v>
      </c>
      <c r="D898" s="129"/>
      <c r="E898" s="630">
        <v>865368</v>
      </c>
    </row>
    <row r="899" spans="1:6" ht="30" x14ac:dyDescent="0.25">
      <c r="A899" s="840">
        <v>46217</v>
      </c>
      <c r="B899" s="633" t="s">
        <v>1547</v>
      </c>
      <c r="C899" s="633" t="s">
        <v>753</v>
      </c>
      <c r="D899" s="129"/>
      <c r="E899" s="630">
        <v>156560</v>
      </c>
    </row>
    <row r="900" spans="1:6" x14ac:dyDescent="0.25">
      <c r="A900" s="840">
        <v>46216</v>
      </c>
      <c r="B900" s="1162" t="s">
        <v>1544</v>
      </c>
      <c r="C900" s="1162" t="s">
        <v>293</v>
      </c>
      <c r="D900" s="129"/>
      <c r="E900" s="1122">
        <v>107464</v>
      </c>
      <c r="F900" s="5"/>
    </row>
    <row r="901" spans="1:6" x14ac:dyDescent="0.25">
      <c r="A901" s="840">
        <v>46210</v>
      </c>
      <c r="B901" s="1163" t="s">
        <v>1519</v>
      </c>
      <c r="C901" s="1163" t="s">
        <v>621</v>
      </c>
      <c r="D901" s="129"/>
      <c r="E901" s="563">
        <v>60600</v>
      </c>
      <c r="F901" s="5">
        <f>SUM(E896:E901)</f>
        <v>1239078</v>
      </c>
    </row>
    <row r="902" spans="1:6" x14ac:dyDescent="0.25">
      <c r="A902" s="1164">
        <v>46216</v>
      </c>
      <c r="B902" s="1165" t="s">
        <v>1541</v>
      </c>
      <c r="C902" s="1165" t="s">
        <v>48</v>
      </c>
      <c r="D902" s="129"/>
      <c r="E902" s="1166">
        <v>15150</v>
      </c>
    </row>
    <row r="903" spans="1:6" x14ac:dyDescent="0.25">
      <c r="A903" s="1164">
        <v>46216</v>
      </c>
      <c r="B903" s="1165" t="s">
        <v>1543</v>
      </c>
      <c r="C903" s="1165" t="s">
        <v>46</v>
      </c>
      <c r="D903" s="129"/>
      <c r="E903" s="1166">
        <v>40401</v>
      </c>
    </row>
    <row r="904" spans="1:6" x14ac:dyDescent="0.25">
      <c r="A904" s="1164">
        <v>46217</v>
      </c>
      <c r="B904" s="1167" t="s">
        <v>1548</v>
      </c>
      <c r="C904" s="1167" t="s">
        <v>147</v>
      </c>
      <c r="D904" s="129"/>
      <c r="E904" s="1168">
        <v>34340</v>
      </c>
    </row>
    <row r="905" spans="1:6" ht="30" x14ac:dyDescent="0.25">
      <c r="A905" s="1164">
        <v>46217</v>
      </c>
      <c r="B905" s="1165" t="s">
        <v>1549</v>
      </c>
      <c r="C905" s="1165" t="s">
        <v>626</v>
      </c>
      <c r="D905" s="129"/>
      <c r="E905" s="1166">
        <v>58176</v>
      </c>
    </row>
    <row r="906" spans="1:6" x14ac:dyDescent="0.25">
      <c r="A906" s="1164">
        <v>46218</v>
      </c>
      <c r="B906" s="1165" t="s">
        <v>1554</v>
      </c>
      <c r="C906" s="1165" t="s">
        <v>842</v>
      </c>
      <c r="D906" s="129"/>
      <c r="E906" s="1166">
        <v>24240</v>
      </c>
    </row>
    <row r="907" spans="1:6" x14ac:dyDescent="0.25">
      <c r="A907" s="1164">
        <v>46218</v>
      </c>
      <c r="B907" s="1165" t="s">
        <v>1556</v>
      </c>
      <c r="C907" s="1165" t="s">
        <v>46</v>
      </c>
      <c r="D907" s="129"/>
      <c r="E907" s="1166">
        <v>40400</v>
      </c>
      <c r="F907" s="5">
        <f>SUM(E902:E907)</f>
        <v>212707</v>
      </c>
    </row>
    <row r="908" spans="1:6" x14ac:dyDescent="0.25">
      <c r="A908" s="720"/>
      <c r="B908" s="1032" t="s">
        <v>1610</v>
      </c>
      <c r="C908" s="720"/>
      <c r="D908" s="720"/>
      <c r="E908" s="1169">
        <v>24237</v>
      </c>
    </row>
    <row r="909" spans="1:6" x14ac:dyDescent="0.25">
      <c r="A909" s="720"/>
      <c r="B909" s="1028" t="s">
        <v>1611</v>
      </c>
      <c r="C909" s="720"/>
      <c r="D909" s="720"/>
      <c r="E909" s="1169">
        <v>17170</v>
      </c>
    </row>
    <row r="910" spans="1:6" x14ac:dyDescent="0.25">
      <c r="A910" s="805">
        <v>46219</v>
      </c>
      <c r="B910" s="521" t="s">
        <v>1558</v>
      </c>
      <c r="C910" s="521" t="s">
        <v>473</v>
      </c>
      <c r="D910" s="129"/>
      <c r="E910" s="79">
        <v>103424</v>
      </c>
    </row>
    <row r="911" spans="1:6" x14ac:dyDescent="0.25">
      <c r="A911" s="805">
        <v>46219</v>
      </c>
      <c r="B911" s="521" t="s">
        <v>1559</v>
      </c>
      <c r="C911" s="521" t="s">
        <v>809</v>
      </c>
      <c r="D911" s="129"/>
      <c r="E911" s="79">
        <v>16160</v>
      </c>
    </row>
    <row r="912" spans="1:6" x14ac:dyDescent="0.25">
      <c r="A912" s="805">
        <v>46219</v>
      </c>
      <c r="B912" s="521" t="s">
        <v>1562</v>
      </c>
      <c r="C912" s="521" t="s">
        <v>1563</v>
      </c>
      <c r="D912" s="129"/>
      <c r="E912" s="79">
        <v>94536</v>
      </c>
    </row>
    <row r="913" spans="1:6" x14ac:dyDescent="0.25">
      <c r="A913" s="805">
        <v>46218</v>
      </c>
      <c r="B913" s="1170" t="s">
        <v>1553</v>
      </c>
      <c r="C913" s="1170" t="s">
        <v>842</v>
      </c>
      <c r="D913" s="129"/>
      <c r="E913" s="148">
        <v>26260</v>
      </c>
    </row>
    <row r="914" spans="1:6" x14ac:dyDescent="0.25">
      <c r="A914" s="805">
        <v>46220</v>
      </c>
      <c r="B914" s="1170" t="s">
        <v>1567</v>
      </c>
      <c r="C914" s="1170" t="s">
        <v>842</v>
      </c>
      <c r="D914" s="129"/>
      <c r="E914" s="148">
        <v>15150</v>
      </c>
    </row>
    <row r="915" spans="1:6" x14ac:dyDescent="0.25">
      <c r="A915" s="805">
        <v>46220</v>
      </c>
      <c r="B915" s="1170" t="s">
        <v>1570</v>
      </c>
      <c r="C915" s="1170" t="s">
        <v>46</v>
      </c>
      <c r="D915" s="129"/>
      <c r="E915" s="148">
        <v>14140</v>
      </c>
    </row>
    <row r="916" spans="1:6" x14ac:dyDescent="0.25">
      <c r="A916" s="805">
        <v>46213</v>
      </c>
      <c r="B916" s="1171" t="s">
        <v>1534</v>
      </c>
      <c r="C916" s="1171" t="s">
        <v>1535</v>
      </c>
      <c r="D916" s="129"/>
      <c r="E916" s="1172">
        <v>55521</v>
      </c>
      <c r="F916" s="18"/>
    </row>
    <row r="917" spans="1:6" x14ac:dyDescent="0.25">
      <c r="A917" s="805">
        <v>46217</v>
      </c>
      <c r="B917" s="1170" t="s">
        <v>1550</v>
      </c>
      <c r="C917" s="1170" t="s">
        <v>46</v>
      </c>
      <c r="D917" s="129"/>
      <c r="E917" s="148">
        <v>50504</v>
      </c>
    </row>
    <row r="918" spans="1:6" x14ac:dyDescent="0.25">
      <c r="A918" s="805">
        <v>46221</v>
      </c>
      <c r="B918" s="1173" t="s">
        <v>1577</v>
      </c>
      <c r="C918" s="1173" t="s">
        <v>538</v>
      </c>
      <c r="D918" s="129"/>
      <c r="E918" s="79">
        <v>31512</v>
      </c>
      <c r="F918" s="5">
        <f>SUM(E908:E918)</f>
        <v>448614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70"/>
  <sheetViews>
    <sheetView topLeftCell="A57" workbookViewId="0">
      <selection activeCell="F60" sqref="F60"/>
    </sheetView>
  </sheetViews>
  <sheetFormatPr defaultRowHeight="15" x14ac:dyDescent="0.25"/>
  <cols>
    <col min="1" max="1" width="10.7109375" bestFit="1" customWidth="1"/>
    <col min="2" max="2" width="7" customWidth="1"/>
    <col min="3" max="3" width="16.42578125" customWidth="1"/>
    <col min="4" max="4" width="14.28515625" customWidth="1"/>
    <col min="5" max="5" width="15.85546875" customWidth="1"/>
    <col min="6" max="7" width="16.140625" customWidth="1"/>
    <col min="8" max="8" width="20.5703125" style="18" customWidth="1"/>
    <col min="10" max="10" width="12.28515625" customWidth="1"/>
    <col min="11" max="11" width="15.5703125" customWidth="1"/>
    <col min="12" max="12" width="12.5703125" customWidth="1"/>
    <col min="13" max="14" width="15.28515625" customWidth="1"/>
    <col min="15" max="15" width="15.5703125" customWidth="1"/>
    <col min="16" max="16" width="17.28515625" customWidth="1"/>
    <col min="18" max="18" width="12.140625" customWidth="1"/>
    <col min="19" max="19" width="16.140625" customWidth="1"/>
    <col min="20" max="21" width="15.42578125" customWidth="1"/>
    <col min="22" max="22" width="13.28515625" customWidth="1"/>
    <col min="23" max="23" width="20.5703125" customWidth="1"/>
    <col min="24" max="24" width="13.7109375" customWidth="1"/>
  </cols>
  <sheetData>
    <row r="1" spans="1:24" ht="15.75" thickBot="1" x14ac:dyDescent="0.3"/>
    <row r="2" spans="1:24" ht="15.75" thickBot="1" x14ac:dyDescent="0.3">
      <c r="A2" s="1222" t="s">
        <v>340</v>
      </c>
      <c r="B2" s="1223"/>
      <c r="C2" s="1223"/>
      <c r="D2" s="1223"/>
      <c r="E2" s="1223"/>
      <c r="F2" s="1223"/>
      <c r="G2" s="1223"/>
      <c r="H2" s="1224"/>
    </row>
    <row r="3" spans="1:24" ht="15.75" thickBot="1" x14ac:dyDescent="0.3"/>
    <row r="4" spans="1:24" ht="15.75" thickBot="1" x14ac:dyDescent="0.3">
      <c r="A4" s="84" t="s">
        <v>343</v>
      </c>
      <c r="B4" s="85" t="s">
        <v>346</v>
      </c>
      <c r="C4" s="85" t="s">
        <v>337</v>
      </c>
      <c r="D4" s="85" t="s">
        <v>338</v>
      </c>
      <c r="E4" s="85" t="s">
        <v>339</v>
      </c>
      <c r="F4" s="85" t="s">
        <v>342</v>
      </c>
      <c r="G4" s="85" t="s">
        <v>351</v>
      </c>
      <c r="H4" s="86" t="s">
        <v>25</v>
      </c>
      <c r="R4" s="103" t="s">
        <v>352</v>
      </c>
      <c r="S4" s="104"/>
      <c r="T4" s="105"/>
      <c r="V4" s="107" t="s">
        <v>356</v>
      </c>
      <c r="W4" s="108"/>
      <c r="X4" s="109"/>
    </row>
    <row r="5" spans="1:24" ht="15.75" thickBot="1" x14ac:dyDescent="0.3">
      <c r="A5" s="1222" t="s">
        <v>341</v>
      </c>
      <c r="B5" s="1223"/>
      <c r="C5" s="1223"/>
      <c r="D5" s="1223"/>
      <c r="E5" s="1223"/>
      <c r="F5" s="1223"/>
      <c r="G5" s="1224"/>
      <c r="H5" s="87">
        <v>20000000</v>
      </c>
      <c r="J5" s="92" t="s">
        <v>350</v>
      </c>
      <c r="K5" s="93" t="s">
        <v>347</v>
      </c>
      <c r="L5" s="92" t="s">
        <v>348</v>
      </c>
      <c r="M5" s="94" t="s">
        <v>26</v>
      </c>
      <c r="N5" s="92" t="s">
        <v>338</v>
      </c>
      <c r="O5" s="92" t="s">
        <v>18</v>
      </c>
      <c r="P5" s="95" t="s">
        <v>349</v>
      </c>
      <c r="R5" s="102" t="s">
        <v>350</v>
      </c>
      <c r="S5" s="96" t="s">
        <v>353</v>
      </c>
      <c r="T5" s="99" t="s">
        <v>355</v>
      </c>
      <c r="U5" s="98" t="s">
        <v>357</v>
      </c>
      <c r="V5" s="106" t="s">
        <v>350</v>
      </c>
      <c r="W5" s="96" t="s">
        <v>353</v>
      </c>
      <c r="X5" s="96" t="s">
        <v>355</v>
      </c>
    </row>
    <row r="6" spans="1:24" ht="15.75" thickBot="1" x14ac:dyDescent="0.3">
      <c r="A6" s="83">
        <v>46005</v>
      </c>
      <c r="B6" s="112" t="s">
        <v>344</v>
      </c>
      <c r="C6" s="18">
        <v>5930288</v>
      </c>
      <c r="D6" s="18">
        <v>8088568</v>
      </c>
      <c r="E6" s="18">
        <v>3760760</v>
      </c>
      <c r="F6" s="18">
        <f>+H5-C6-D6-E6-G6</f>
        <v>760384</v>
      </c>
      <c r="G6" s="18">
        <v>1460000</v>
      </c>
      <c r="H6" s="18">
        <f t="shared" ref="H6:H11" si="0">+C6+D6+E6+F6+G6</f>
        <v>20000000</v>
      </c>
      <c r="J6" s="89">
        <v>46005</v>
      </c>
      <c r="K6" s="90">
        <v>491065</v>
      </c>
      <c r="L6" s="90">
        <v>224425</v>
      </c>
      <c r="M6" s="90">
        <v>266640</v>
      </c>
      <c r="N6" s="90">
        <v>0</v>
      </c>
      <c r="O6" s="91">
        <f>+K6-P6</f>
        <v>354621</v>
      </c>
      <c r="P6" s="90">
        <v>136444</v>
      </c>
      <c r="R6" s="89">
        <v>46005</v>
      </c>
      <c r="S6" t="s">
        <v>354</v>
      </c>
      <c r="T6" s="18">
        <v>25000</v>
      </c>
      <c r="U6" s="110">
        <f>+T6-X6</f>
        <v>20000</v>
      </c>
      <c r="V6" s="97">
        <v>46005</v>
      </c>
      <c r="W6" t="s">
        <v>358</v>
      </c>
      <c r="X6" s="18">
        <v>5000</v>
      </c>
    </row>
    <row r="7" spans="1:24" ht="15.75" thickBot="1" x14ac:dyDescent="0.3">
      <c r="B7" s="111" t="s">
        <v>345</v>
      </c>
      <c r="C7" s="5">
        <f>+C6+M6</f>
        <v>6196928</v>
      </c>
      <c r="D7" s="5">
        <f>+D6</f>
        <v>8088568</v>
      </c>
      <c r="E7" s="18">
        <v>3406139</v>
      </c>
      <c r="F7" s="18">
        <f>+H5-C7-D7-E7-G7</f>
        <v>848365</v>
      </c>
      <c r="G7" s="18">
        <v>1460000</v>
      </c>
      <c r="H7" s="18">
        <f t="shared" si="0"/>
        <v>20000000</v>
      </c>
      <c r="J7" s="13">
        <v>46006</v>
      </c>
      <c r="K7" s="3">
        <v>3608826</v>
      </c>
      <c r="L7" s="3">
        <v>2853854</v>
      </c>
      <c r="M7" s="3">
        <v>754972</v>
      </c>
      <c r="N7" s="3">
        <v>94935</v>
      </c>
      <c r="O7" s="115">
        <f>+K7-P7</f>
        <v>2586094</v>
      </c>
      <c r="P7" s="3">
        <v>1022732</v>
      </c>
      <c r="R7" s="83">
        <v>46007</v>
      </c>
      <c r="S7" t="s">
        <v>383</v>
      </c>
      <c r="T7" s="18">
        <v>150000</v>
      </c>
      <c r="U7" s="110">
        <f>T7-X7-X8</f>
        <v>40000</v>
      </c>
      <c r="V7" s="83">
        <v>46007</v>
      </c>
      <c r="W7" t="s">
        <v>384</v>
      </c>
      <c r="X7" s="18">
        <v>80000</v>
      </c>
    </row>
    <row r="8" spans="1:24" x14ac:dyDescent="0.25">
      <c r="A8" s="83">
        <v>46006</v>
      </c>
      <c r="B8" s="83" t="s">
        <v>344</v>
      </c>
      <c r="C8" s="18">
        <f>+C7</f>
        <v>6196928</v>
      </c>
      <c r="D8" s="18">
        <f>+D7</f>
        <v>8088568</v>
      </c>
      <c r="E8" s="18">
        <v>3406136</v>
      </c>
      <c r="F8" s="18">
        <f>+H5-C8-D8-E8-G8</f>
        <v>848368</v>
      </c>
      <c r="G8" s="18">
        <f>+G7</f>
        <v>1460000</v>
      </c>
      <c r="H8" s="18">
        <f t="shared" si="0"/>
        <v>20000000</v>
      </c>
      <c r="J8" s="13">
        <v>46007</v>
      </c>
      <c r="K8" s="3">
        <v>8855762</v>
      </c>
      <c r="L8" s="3">
        <v>7382071</v>
      </c>
      <c r="M8" s="3">
        <v>1473691</v>
      </c>
      <c r="N8" s="3">
        <v>129243</v>
      </c>
      <c r="O8" s="88">
        <f t="shared" ref="O8:O23" si="1">+K8-P8</f>
        <v>6362246</v>
      </c>
      <c r="P8" s="3">
        <v>2493516</v>
      </c>
      <c r="T8" s="18"/>
      <c r="U8" s="100"/>
      <c r="V8" s="83">
        <v>46007</v>
      </c>
      <c r="W8" t="s">
        <v>385</v>
      </c>
      <c r="X8" s="18">
        <v>30000</v>
      </c>
    </row>
    <row r="9" spans="1:24" ht="15.75" thickBot="1" x14ac:dyDescent="0.3">
      <c r="B9" t="s">
        <v>345</v>
      </c>
      <c r="C9" s="18">
        <f>+C8+M7</f>
        <v>6951900</v>
      </c>
      <c r="D9" s="18">
        <f>+D8+N7</f>
        <v>8183503</v>
      </c>
      <c r="E9" s="18">
        <v>2320046</v>
      </c>
      <c r="F9" s="18">
        <f>+H5-C9-D9-E9-G9</f>
        <v>1084551</v>
      </c>
      <c r="G9" s="18">
        <f>+G8</f>
        <v>1460000</v>
      </c>
      <c r="H9" s="18">
        <f t="shared" si="0"/>
        <v>20000000</v>
      </c>
      <c r="J9" s="13">
        <v>46008</v>
      </c>
      <c r="K9" s="127">
        <v>3531999</v>
      </c>
      <c r="L9" s="3">
        <v>3373027</v>
      </c>
      <c r="M9" s="3">
        <v>85848</v>
      </c>
      <c r="N9" s="3">
        <v>56560</v>
      </c>
      <c r="O9" s="115">
        <f>+K9-P9</f>
        <v>2523475</v>
      </c>
      <c r="P9" s="3">
        <v>1008524</v>
      </c>
      <c r="T9" s="18"/>
      <c r="U9" s="100"/>
      <c r="X9" s="18"/>
    </row>
    <row r="10" spans="1:24" ht="15.75" thickBot="1" x14ac:dyDescent="0.3">
      <c r="A10" s="83">
        <v>46007</v>
      </c>
      <c r="B10" s="112" t="s">
        <v>344</v>
      </c>
      <c r="C10" s="18">
        <v>6951900</v>
      </c>
      <c r="D10" s="18">
        <v>8183503</v>
      </c>
      <c r="E10" s="18">
        <v>2320046</v>
      </c>
      <c r="F10" s="18">
        <v>1084551</v>
      </c>
      <c r="G10" s="18">
        <v>1460000</v>
      </c>
      <c r="H10" s="18">
        <f t="shared" si="0"/>
        <v>20000000</v>
      </c>
      <c r="J10" s="13">
        <v>46009</v>
      </c>
      <c r="K10" s="3">
        <v>1689436</v>
      </c>
      <c r="L10" s="3">
        <v>1315631</v>
      </c>
      <c r="M10" s="3">
        <v>373805</v>
      </c>
      <c r="N10" s="3">
        <v>51000</v>
      </c>
      <c r="O10" s="88">
        <f t="shared" si="1"/>
        <v>1231991</v>
      </c>
      <c r="P10" s="3">
        <v>457445</v>
      </c>
      <c r="T10" s="18"/>
      <c r="U10" s="100"/>
      <c r="X10" s="18"/>
    </row>
    <row r="11" spans="1:24" ht="15.75" thickBot="1" x14ac:dyDescent="0.3">
      <c r="B11" s="111" t="s">
        <v>345</v>
      </c>
      <c r="C11" s="5">
        <f>(C10+M8)-1016663</f>
        <v>7408928</v>
      </c>
      <c r="D11" s="5">
        <f>D10+N8</f>
        <v>8312746</v>
      </c>
      <c r="E11" s="18">
        <v>2474462</v>
      </c>
      <c r="F11" s="18">
        <f>H5-C11-D11-E11-G11</f>
        <v>343864</v>
      </c>
      <c r="G11" s="18">
        <v>1460000</v>
      </c>
      <c r="H11" s="18">
        <f t="shared" si="0"/>
        <v>20000000</v>
      </c>
      <c r="J11" s="13">
        <v>46010</v>
      </c>
      <c r="K11" s="3">
        <v>13118176</v>
      </c>
      <c r="L11" s="3">
        <v>12201500</v>
      </c>
      <c r="M11" s="3">
        <v>916676</v>
      </c>
      <c r="N11" s="3">
        <v>174568</v>
      </c>
      <c r="O11" s="88">
        <f t="shared" si="1"/>
        <v>9804583</v>
      </c>
      <c r="P11" s="3">
        <v>3313593</v>
      </c>
      <c r="T11" s="18"/>
      <c r="U11" s="100"/>
      <c r="X11" s="18"/>
    </row>
    <row r="12" spans="1:24" x14ac:dyDescent="0.25">
      <c r="A12" s="83">
        <v>46008</v>
      </c>
      <c r="B12" s="83" t="s">
        <v>344</v>
      </c>
      <c r="C12" s="18">
        <v>7408928</v>
      </c>
      <c r="D12" s="18">
        <v>8312746</v>
      </c>
      <c r="E12" s="18">
        <v>2474462</v>
      </c>
      <c r="F12" s="18">
        <v>343864</v>
      </c>
      <c r="G12" s="18">
        <v>1460000</v>
      </c>
      <c r="H12" s="18">
        <f>C12+D12+E12+F12+G12</f>
        <v>20000000</v>
      </c>
      <c r="J12" s="13">
        <v>46011</v>
      </c>
      <c r="K12" s="3">
        <v>1440142</v>
      </c>
      <c r="L12" s="3">
        <v>1171277</v>
      </c>
      <c r="M12" s="3">
        <v>268865</v>
      </c>
      <c r="N12" s="3">
        <v>0</v>
      </c>
      <c r="O12" s="88">
        <f t="shared" si="1"/>
        <v>1032625</v>
      </c>
      <c r="P12" s="3">
        <v>407517</v>
      </c>
      <c r="T12" s="18"/>
      <c r="U12" s="100"/>
      <c r="X12" s="18"/>
    </row>
    <row r="13" spans="1:24" ht="15.75" thickBot="1" x14ac:dyDescent="0.3">
      <c r="B13" t="s">
        <v>345</v>
      </c>
      <c r="C13" s="5">
        <f>C12+M9</f>
        <v>7494776</v>
      </c>
      <c r="D13" s="5">
        <f>D12+N9</f>
        <v>8369306</v>
      </c>
      <c r="E13" s="18">
        <v>1950989</v>
      </c>
      <c r="F13" s="18">
        <f>H7-C13-D13-E13-G13</f>
        <v>724929</v>
      </c>
      <c r="G13" s="18">
        <v>1460000</v>
      </c>
      <c r="H13" s="18">
        <f>C13+D13+E13+F13+G13</f>
        <v>20000000</v>
      </c>
      <c r="J13" s="13">
        <v>46012</v>
      </c>
      <c r="K13" s="3">
        <v>416625</v>
      </c>
      <c r="L13" s="3">
        <v>416625</v>
      </c>
      <c r="M13" s="3">
        <v>0</v>
      </c>
      <c r="N13" s="3">
        <v>0</v>
      </c>
      <c r="O13" s="88">
        <f t="shared" si="1"/>
        <v>295763</v>
      </c>
      <c r="P13" s="3">
        <v>120862</v>
      </c>
      <c r="T13" s="18"/>
      <c r="U13" s="100"/>
      <c r="X13" s="18"/>
    </row>
    <row r="14" spans="1:24" ht="15.75" thickBot="1" x14ac:dyDescent="0.3">
      <c r="A14" s="83">
        <v>46009</v>
      </c>
      <c r="B14" s="112" t="s">
        <v>344</v>
      </c>
      <c r="C14" s="18">
        <v>7494776</v>
      </c>
      <c r="D14" s="18">
        <v>8369306</v>
      </c>
      <c r="E14" s="18">
        <v>1950989</v>
      </c>
      <c r="F14" s="18">
        <v>724929</v>
      </c>
      <c r="G14" s="18">
        <v>1460000</v>
      </c>
      <c r="H14" s="18">
        <f>SUM(C14:G14)</f>
        <v>20000000</v>
      </c>
      <c r="J14" s="13">
        <v>46013</v>
      </c>
      <c r="K14" s="3">
        <v>726493</v>
      </c>
      <c r="L14" s="3">
        <v>581255</v>
      </c>
      <c r="M14" s="3">
        <v>145238</v>
      </c>
      <c r="N14" s="3">
        <v>68175</v>
      </c>
      <c r="O14" s="88">
        <f>+K14-P14</f>
        <v>522001</v>
      </c>
      <c r="P14" s="3">
        <v>204492</v>
      </c>
      <c r="U14" s="100"/>
      <c r="X14" s="18"/>
    </row>
    <row r="15" spans="1:24" ht="15.75" thickBot="1" x14ac:dyDescent="0.3">
      <c r="B15" s="111" t="s">
        <v>345</v>
      </c>
      <c r="C15" s="163">
        <v>7494776</v>
      </c>
      <c r="D15" s="5">
        <f>D14+N10</f>
        <v>8420306</v>
      </c>
      <c r="E15" s="18"/>
      <c r="F15" s="18"/>
      <c r="J15" s="13">
        <v>46014</v>
      </c>
      <c r="K15" s="160">
        <v>3077702</v>
      </c>
      <c r="L15" s="3">
        <v>3049422</v>
      </c>
      <c r="M15" s="14">
        <f>K15-L15</f>
        <v>28280</v>
      </c>
      <c r="N15" s="3">
        <f>106560+201500+27775+30800+20200+20200+16160</f>
        <v>423195</v>
      </c>
      <c r="O15" s="88">
        <f>+K15-P15</f>
        <v>2280232</v>
      </c>
      <c r="P15" s="3">
        <v>797470</v>
      </c>
      <c r="U15" s="100"/>
      <c r="X15" s="18"/>
    </row>
    <row r="16" spans="1:24" x14ac:dyDescent="0.25">
      <c r="A16" s="83">
        <v>46010</v>
      </c>
      <c r="B16" s="83" t="s">
        <v>344</v>
      </c>
      <c r="D16" s="18">
        <v>8420306</v>
      </c>
      <c r="F16" s="18"/>
      <c r="J16" s="13">
        <v>46015</v>
      </c>
      <c r="K16" s="3">
        <v>3800488</v>
      </c>
      <c r="L16" s="3">
        <v>2803726</v>
      </c>
      <c r="M16" s="14">
        <f t="shared" ref="M16:M22" si="2">K16-L16</f>
        <v>996762</v>
      </c>
      <c r="N16" s="3">
        <v>120690</v>
      </c>
      <c r="O16" s="88">
        <f t="shared" si="1"/>
        <v>2746568</v>
      </c>
      <c r="P16" s="3">
        <v>1053920</v>
      </c>
      <c r="U16" s="100"/>
      <c r="X16" s="18"/>
    </row>
    <row r="17" spans="1:24" ht="15.75" thickBot="1" x14ac:dyDescent="0.3">
      <c r="B17" t="s">
        <v>345</v>
      </c>
      <c r="D17" s="5">
        <f>D16+N11</f>
        <v>8594874</v>
      </c>
      <c r="F17" s="18"/>
      <c r="J17" s="13">
        <v>46016</v>
      </c>
      <c r="K17" s="3">
        <v>1430160</v>
      </c>
      <c r="L17" s="3">
        <v>1430160</v>
      </c>
      <c r="M17" s="3">
        <f t="shared" si="2"/>
        <v>0</v>
      </c>
      <c r="N17" s="3">
        <v>0</v>
      </c>
      <c r="O17" s="115">
        <f t="shared" si="1"/>
        <v>1016262</v>
      </c>
      <c r="P17" s="3">
        <v>413898</v>
      </c>
      <c r="U17" s="100"/>
      <c r="X17" s="18"/>
    </row>
    <row r="18" spans="1:24" ht="15.75" thickBot="1" x14ac:dyDescent="0.3">
      <c r="A18" s="83">
        <v>46011</v>
      </c>
      <c r="B18" s="112" t="s">
        <v>344</v>
      </c>
      <c r="D18" s="5">
        <f>D17</f>
        <v>8594874</v>
      </c>
      <c r="F18" s="18"/>
      <c r="J18" s="13">
        <v>46017</v>
      </c>
      <c r="K18" s="3">
        <v>2214978</v>
      </c>
      <c r="L18" s="3">
        <v>2170738</v>
      </c>
      <c r="M18" s="14">
        <f t="shared" si="2"/>
        <v>44240</v>
      </c>
      <c r="N18" s="4">
        <v>0</v>
      </c>
      <c r="O18" s="88">
        <f t="shared" si="1"/>
        <v>1599760</v>
      </c>
      <c r="P18" s="3">
        <v>615218</v>
      </c>
      <c r="U18" s="100"/>
      <c r="X18" s="18"/>
    </row>
    <row r="19" spans="1:24" ht="15.75" thickBot="1" x14ac:dyDescent="0.3">
      <c r="B19" s="111" t="s">
        <v>345</v>
      </c>
      <c r="D19" s="18">
        <v>8594874</v>
      </c>
      <c r="F19" s="18"/>
      <c r="J19" s="13">
        <v>46018</v>
      </c>
      <c r="K19" s="3">
        <v>3760090</v>
      </c>
      <c r="L19" s="3">
        <v>3743929</v>
      </c>
      <c r="M19" s="3">
        <f t="shared" si="2"/>
        <v>16161</v>
      </c>
      <c r="N19" s="3">
        <v>0</v>
      </c>
      <c r="O19" s="115">
        <f t="shared" si="1"/>
        <v>2658724</v>
      </c>
      <c r="P19" s="3">
        <v>1101366</v>
      </c>
      <c r="U19" s="100"/>
      <c r="X19" s="18"/>
    </row>
    <row r="20" spans="1:24" ht="15.75" thickBot="1" x14ac:dyDescent="0.3">
      <c r="A20" s="83">
        <v>46012</v>
      </c>
      <c r="B20" s="136" t="s">
        <v>344</v>
      </c>
      <c r="D20" s="18">
        <v>8594874</v>
      </c>
      <c r="J20" s="13">
        <v>46019</v>
      </c>
      <c r="K20" s="3">
        <v>784950</v>
      </c>
      <c r="L20" s="3">
        <v>784950</v>
      </c>
      <c r="M20" s="14">
        <f t="shared" si="2"/>
        <v>0</v>
      </c>
      <c r="N20" s="4">
        <v>0</v>
      </c>
      <c r="O20" s="88">
        <f t="shared" si="1"/>
        <v>575490</v>
      </c>
      <c r="P20" s="3">
        <v>209460</v>
      </c>
      <c r="U20" s="101"/>
      <c r="X20" s="18"/>
    </row>
    <row r="21" spans="1:24" ht="15.75" thickBot="1" x14ac:dyDescent="0.3">
      <c r="B21" s="137" t="s">
        <v>345</v>
      </c>
      <c r="C21" s="18"/>
      <c r="D21" s="18">
        <v>8594874</v>
      </c>
      <c r="E21" s="18"/>
      <c r="F21" s="18"/>
      <c r="G21" s="18"/>
      <c r="J21" s="13">
        <v>46020</v>
      </c>
      <c r="K21" s="3">
        <v>4266348</v>
      </c>
      <c r="L21" s="3">
        <v>3862753</v>
      </c>
      <c r="M21" s="14">
        <f t="shared" si="2"/>
        <v>403595</v>
      </c>
      <c r="N21" s="3">
        <v>53530</v>
      </c>
      <c r="O21" s="88">
        <f t="shared" si="1"/>
        <v>3080923</v>
      </c>
      <c r="P21" s="3">
        <v>1185425</v>
      </c>
    </row>
    <row r="22" spans="1:24" ht="15.75" thickBot="1" x14ac:dyDescent="0.3">
      <c r="A22" s="83">
        <v>46013</v>
      </c>
      <c r="B22" s="112" t="s">
        <v>344</v>
      </c>
      <c r="C22" s="18"/>
      <c r="D22" s="18">
        <f>D21</f>
        <v>8594874</v>
      </c>
      <c r="E22" s="18"/>
      <c r="F22" s="18"/>
      <c r="G22" s="18"/>
      <c r="J22" s="13">
        <v>46021</v>
      </c>
      <c r="K22" s="3">
        <v>5716084</v>
      </c>
      <c r="L22" s="3">
        <v>5276934</v>
      </c>
      <c r="M22" s="3">
        <f t="shared" si="2"/>
        <v>439150</v>
      </c>
      <c r="N22" s="3">
        <f>30800+20200</f>
        <v>51000</v>
      </c>
      <c r="O22" s="115">
        <f t="shared" si="1"/>
        <v>4083419</v>
      </c>
      <c r="P22" s="3">
        <v>1632665</v>
      </c>
    </row>
    <row r="23" spans="1:24" ht="15.75" thickBot="1" x14ac:dyDescent="0.3">
      <c r="B23" s="150" t="s">
        <v>345</v>
      </c>
      <c r="C23" s="149">
        <v>6321797</v>
      </c>
      <c r="D23" s="14">
        <f>D22+68175</f>
        <v>8663049</v>
      </c>
      <c r="E23" s="3">
        <v>2514746</v>
      </c>
      <c r="F23" s="14">
        <f>H23-G23-E23-D23-C23</f>
        <v>1364482</v>
      </c>
      <c r="G23" s="3">
        <f>1460000+7675926</f>
        <v>9135926</v>
      </c>
      <c r="H23" s="3">
        <v>28000000</v>
      </c>
      <c r="J23" s="13">
        <v>46022</v>
      </c>
      <c r="K23" s="3">
        <v>4004550</v>
      </c>
      <c r="L23" s="3">
        <v>2285532</v>
      </c>
      <c r="M23" s="3">
        <f>K23-L23</f>
        <v>1719018</v>
      </c>
      <c r="N23" s="3">
        <f>20200+27775+20200</f>
        <v>68175</v>
      </c>
      <c r="O23" s="115">
        <f t="shared" si="1"/>
        <v>2837490</v>
      </c>
      <c r="P23" s="3">
        <v>1167060</v>
      </c>
    </row>
    <row r="24" spans="1:24" x14ac:dyDescent="0.25">
      <c r="A24" s="83">
        <v>46014</v>
      </c>
      <c r="B24" s="136" t="s">
        <v>344</v>
      </c>
      <c r="C24" s="3">
        <v>6321797</v>
      </c>
      <c r="D24" s="14">
        <f>8663049</f>
        <v>8663049</v>
      </c>
      <c r="E24" s="3">
        <v>2514746</v>
      </c>
      <c r="F24" s="14">
        <f>H24-G24-E24-D24-C24</f>
        <v>1364482</v>
      </c>
      <c r="G24" s="3">
        <f>1460000+7675926</f>
        <v>9135926</v>
      </c>
      <c r="H24" s="3">
        <v>28000000</v>
      </c>
    </row>
    <row r="25" spans="1:24" ht="15.75" thickBot="1" x14ac:dyDescent="0.3">
      <c r="B25" s="137" t="s">
        <v>345</v>
      </c>
      <c r="C25" s="3">
        <v>3750335</v>
      </c>
      <c r="D25" s="14">
        <f>D24+N15</f>
        <v>9086244</v>
      </c>
      <c r="E25" s="3">
        <v>2834257</v>
      </c>
      <c r="F25" s="14">
        <f>H25-G25-E25-D25-C25</f>
        <v>3193238</v>
      </c>
      <c r="G25" s="3">
        <v>9135926</v>
      </c>
      <c r="H25" s="3">
        <v>28000000</v>
      </c>
      <c r="L25" s="5">
        <f>D26+N16</f>
        <v>9206934</v>
      </c>
    </row>
    <row r="26" spans="1:24" ht="15.75" thickBot="1" x14ac:dyDescent="0.3">
      <c r="A26" s="83">
        <v>46015</v>
      </c>
      <c r="B26" s="164" t="s">
        <v>344</v>
      </c>
      <c r="C26" s="34">
        <v>3750335</v>
      </c>
      <c r="D26" s="3">
        <v>9086244</v>
      </c>
      <c r="E26" s="34">
        <v>2834257</v>
      </c>
      <c r="F26" s="3">
        <v>3193238</v>
      </c>
      <c r="G26" s="3">
        <v>9135926</v>
      </c>
      <c r="H26" s="3">
        <v>28000000</v>
      </c>
    </row>
    <row r="27" spans="1:24" ht="15.75" thickBot="1" x14ac:dyDescent="0.3">
      <c r="B27" s="176" t="s">
        <v>345</v>
      </c>
      <c r="C27" s="34">
        <v>4449952</v>
      </c>
      <c r="D27" s="14">
        <f>D26+N16</f>
        <v>9206934</v>
      </c>
      <c r="E27" s="34">
        <v>3384834</v>
      </c>
      <c r="F27" s="14">
        <f>H27-G27-E27-D27-C27</f>
        <v>1822354</v>
      </c>
      <c r="G27" s="3">
        <v>9135926</v>
      </c>
      <c r="H27" s="3">
        <v>28000000</v>
      </c>
    </row>
    <row r="28" spans="1:24" x14ac:dyDescent="0.25">
      <c r="A28" s="83">
        <v>46016</v>
      </c>
      <c r="B28" s="136" t="s">
        <v>344</v>
      </c>
      <c r="C28" s="34">
        <f>C27</f>
        <v>4449952</v>
      </c>
      <c r="D28" s="34">
        <v>9206934</v>
      </c>
      <c r="E28" s="34">
        <v>3384834</v>
      </c>
      <c r="F28" s="34">
        <v>1822354</v>
      </c>
      <c r="G28" s="34">
        <v>9135926</v>
      </c>
      <c r="H28" s="34">
        <v>28000000</v>
      </c>
    </row>
    <row r="29" spans="1:24" ht="15.75" thickBot="1" x14ac:dyDescent="0.3">
      <c r="B29" t="s">
        <v>345</v>
      </c>
      <c r="C29" s="14">
        <f>C28</f>
        <v>4449952</v>
      </c>
      <c r="D29" s="14">
        <f>D28</f>
        <v>9206934</v>
      </c>
      <c r="E29" s="34">
        <v>2368572</v>
      </c>
      <c r="F29" s="14">
        <f>H29-G29-E29-D29-C29</f>
        <v>2838616</v>
      </c>
      <c r="G29" s="14">
        <f>G28</f>
        <v>9135926</v>
      </c>
      <c r="H29" s="3">
        <f>H28</f>
        <v>28000000</v>
      </c>
    </row>
    <row r="30" spans="1:24" ht="15.75" thickBot="1" x14ac:dyDescent="0.3">
      <c r="A30" s="83">
        <v>46017</v>
      </c>
      <c r="B30" s="164" t="s">
        <v>344</v>
      </c>
      <c r="C30" s="34">
        <v>4449952</v>
      </c>
      <c r="D30" s="3">
        <v>9206934</v>
      </c>
      <c r="E30" s="34">
        <v>2368572</v>
      </c>
      <c r="F30" s="3">
        <v>2838616</v>
      </c>
      <c r="G30" s="34">
        <v>9135926</v>
      </c>
      <c r="H30" s="3">
        <f>C30+D30+E30+F30+G30</f>
        <v>28000000</v>
      </c>
    </row>
    <row r="31" spans="1:24" ht="15.75" thickBot="1" x14ac:dyDescent="0.3">
      <c r="B31" s="176" t="s">
        <v>345</v>
      </c>
      <c r="C31" s="34">
        <v>4031207</v>
      </c>
      <c r="D31" s="34">
        <v>9206934</v>
      </c>
      <c r="E31" s="34">
        <v>3731797</v>
      </c>
      <c r="F31" s="14">
        <f>H31-C31-D31-E31-G31</f>
        <v>1894136</v>
      </c>
      <c r="G31" s="14">
        <f>G30</f>
        <v>9135926</v>
      </c>
      <c r="H31" s="3">
        <v>28000000</v>
      </c>
    </row>
    <row r="32" spans="1:24" x14ac:dyDescent="0.25">
      <c r="A32" s="217">
        <v>46018</v>
      </c>
      <c r="B32" s="136" t="s">
        <v>344</v>
      </c>
      <c r="C32" s="34">
        <v>4031207</v>
      </c>
      <c r="D32" s="34">
        <v>9206934</v>
      </c>
      <c r="E32" s="34">
        <v>3731797</v>
      </c>
      <c r="F32" s="34">
        <v>1894136</v>
      </c>
      <c r="G32" s="14">
        <v>9135926</v>
      </c>
      <c r="H32" s="3">
        <f>SUM(C32:G32)</f>
        <v>28000000</v>
      </c>
    </row>
    <row r="33" spans="1:8" ht="15.75" thickBot="1" x14ac:dyDescent="0.3">
      <c r="B33" t="s">
        <v>345</v>
      </c>
      <c r="C33" s="34">
        <v>3450462</v>
      </c>
      <c r="D33" s="34">
        <v>9206934</v>
      </c>
      <c r="E33" s="34">
        <v>4169979</v>
      </c>
      <c r="F33" s="14">
        <f>H33-G33-E33-D33-C33</f>
        <v>2036699</v>
      </c>
      <c r="G33" s="14">
        <f>G32</f>
        <v>9135926</v>
      </c>
      <c r="H33" s="3">
        <v>28000000</v>
      </c>
    </row>
    <row r="34" spans="1:8" ht="15.75" thickBot="1" x14ac:dyDescent="0.3">
      <c r="A34" s="83">
        <v>46019</v>
      </c>
      <c r="B34" s="112" t="s">
        <v>344</v>
      </c>
      <c r="C34" s="218">
        <v>3450462</v>
      </c>
      <c r="D34" s="34">
        <v>9206934</v>
      </c>
      <c r="E34" s="34">
        <v>4169979</v>
      </c>
      <c r="F34" s="34">
        <v>2036699</v>
      </c>
      <c r="G34" s="34">
        <v>9135926</v>
      </c>
      <c r="H34" s="3">
        <f>C34+D34+E34+F34+G34</f>
        <v>28000000</v>
      </c>
    </row>
    <row r="35" spans="1:8" ht="15.75" thickBot="1" x14ac:dyDescent="0.3">
      <c r="B35" s="111" t="s">
        <v>345</v>
      </c>
      <c r="C35" s="219">
        <v>3450462</v>
      </c>
      <c r="D35" s="3">
        <v>9206934</v>
      </c>
      <c r="E35" s="3">
        <v>3252314</v>
      </c>
      <c r="F35" s="3">
        <f>H35-G35-E35-D35-C35</f>
        <v>2464004</v>
      </c>
      <c r="G35" s="3">
        <f>G34+D61</f>
        <v>9626286</v>
      </c>
      <c r="H35" s="3">
        <v>28000000</v>
      </c>
    </row>
    <row r="36" spans="1:8" x14ac:dyDescent="0.25">
      <c r="A36" s="83">
        <v>46020</v>
      </c>
      <c r="B36" s="136" t="s">
        <v>344</v>
      </c>
      <c r="C36" s="34">
        <v>3450462</v>
      </c>
      <c r="D36" s="34">
        <v>9206934</v>
      </c>
      <c r="E36" s="34">
        <v>3252314</v>
      </c>
      <c r="F36" s="34">
        <v>2464004</v>
      </c>
      <c r="G36" s="34">
        <v>9626286</v>
      </c>
      <c r="H36" s="3">
        <f>SUM(C36:G36)</f>
        <v>28000000</v>
      </c>
    </row>
    <row r="37" spans="1:8" ht="15.75" thickBot="1" x14ac:dyDescent="0.3">
      <c r="B37" t="s">
        <v>345</v>
      </c>
      <c r="C37" s="3">
        <v>2970205</v>
      </c>
      <c r="D37" s="3">
        <f>D36+N21</f>
        <v>9260464</v>
      </c>
      <c r="E37" s="3">
        <v>3041105</v>
      </c>
      <c r="F37" s="3">
        <f>H37-G37-E37-D37-C37</f>
        <v>3101940</v>
      </c>
      <c r="G37" s="3">
        <v>9626286</v>
      </c>
      <c r="H37" s="3">
        <v>28000000</v>
      </c>
    </row>
    <row r="38" spans="1:8" ht="15.75" thickBot="1" x14ac:dyDescent="0.3">
      <c r="A38" s="83">
        <v>46021</v>
      </c>
      <c r="B38" s="112" t="s">
        <v>344</v>
      </c>
      <c r="C38" s="149">
        <v>2970205</v>
      </c>
      <c r="D38" s="3">
        <v>9260464</v>
      </c>
      <c r="E38" s="3">
        <v>3041105</v>
      </c>
      <c r="F38" s="3">
        <v>3101940</v>
      </c>
      <c r="G38" s="3">
        <v>9626286</v>
      </c>
      <c r="H38" s="3">
        <f>C38+D38+E38+F38+G38</f>
        <v>28000000</v>
      </c>
    </row>
    <row r="39" spans="1:8" ht="15.75" thickBot="1" x14ac:dyDescent="0.3">
      <c r="B39" s="111" t="s">
        <v>345</v>
      </c>
      <c r="C39" s="235">
        <v>3409355</v>
      </c>
      <c r="D39" s="185">
        <f>D38+N22</f>
        <v>9311464</v>
      </c>
      <c r="E39" s="185">
        <v>2957686</v>
      </c>
      <c r="F39" s="185">
        <f>H39-G39-E39-D39-C39</f>
        <v>2695209</v>
      </c>
      <c r="G39" s="185">
        <f>G38</f>
        <v>9626286</v>
      </c>
      <c r="H39" s="185">
        <v>28000000</v>
      </c>
    </row>
    <row r="40" spans="1:8" x14ac:dyDescent="0.25">
      <c r="A40" s="83">
        <v>46022</v>
      </c>
      <c r="B40" s="89" t="s">
        <v>344</v>
      </c>
      <c r="C40" s="3">
        <v>3409355</v>
      </c>
      <c r="D40" s="3">
        <v>9311464</v>
      </c>
      <c r="E40" s="3">
        <v>2957686</v>
      </c>
      <c r="F40" s="3">
        <v>2695209</v>
      </c>
      <c r="G40" s="3">
        <v>9626286</v>
      </c>
      <c r="H40" s="3">
        <f>SUM(C40:G40)</f>
        <v>28000000</v>
      </c>
    </row>
    <row r="41" spans="1:8" x14ac:dyDescent="0.25">
      <c r="B41" s="4" t="s">
        <v>345</v>
      </c>
      <c r="C41" s="3">
        <v>4411073</v>
      </c>
      <c r="D41" s="245">
        <f>D40+N23</f>
        <v>9379639</v>
      </c>
      <c r="E41" s="3">
        <v>2837496</v>
      </c>
      <c r="F41" s="3">
        <f>1421432+324074-324074</f>
        <v>1421432</v>
      </c>
      <c r="G41" s="3">
        <f>G40-7675926</f>
        <v>1950360</v>
      </c>
      <c r="H41" s="3">
        <f>SUM(C41:G41)</f>
        <v>20000000</v>
      </c>
    </row>
    <row r="44" spans="1:8" x14ac:dyDescent="0.25">
      <c r="A44" t="s">
        <v>453</v>
      </c>
      <c r="D44" s="18">
        <v>15000000</v>
      </c>
    </row>
    <row r="45" spans="1:8" x14ac:dyDescent="0.25">
      <c r="A45" t="s">
        <v>454</v>
      </c>
      <c r="D45" s="18">
        <v>5000000</v>
      </c>
    </row>
    <row r="46" spans="1:8" ht="15.75" thickBot="1" x14ac:dyDescent="0.3">
      <c r="A46" t="s">
        <v>455</v>
      </c>
      <c r="D46" s="18">
        <v>8000000</v>
      </c>
    </row>
    <row r="47" spans="1:8" ht="15.75" thickBot="1" x14ac:dyDescent="0.3">
      <c r="D47" s="12">
        <f>SUM(D44:D46)</f>
        <v>28000000</v>
      </c>
    </row>
    <row r="49" spans="1:6" ht="15.75" thickBot="1" x14ac:dyDescent="0.3">
      <c r="A49" t="s">
        <v>351</v>
      </c>
      <c r="C49" t="s">
        <v>452</v>
      </c>
      <c r="D49" s="18">
        <v>1460000</v>
      </c>
    </row>
    <row r="50" spans="1:6" ht="15.75" thickBot="1" x14ac:dyDescent="0.3">
      <c r="B50" t="s">
        <v>462</v>
      </c>
      <c r="C50" s="143" t="s">
        <v>456</v>
      </c>
      <c r="D50" s="140">
        <v>5629811</v>
      </c>
    </row>
    <row r="51" spans="1:6" x14ac:dyDescent="0.25">
      <c r="B51" t="s">
        <v>462</v>
      </c>
      <c r="C51" s="142" t="s">
        <v>457</v>
      </c>
      <c r="D51" s="140">
        <v>58953</v>
      </c>
    </row>
    <row r="52" spans="1:6" x14ac:dyDescent="0.25">
      <c r="B52" t="s">
        <v>462</v>
      </c>
      <c r="C52" s="144" t="s">
        <v>458</v>
      </c>
      <c r="D52" s="145">
        <v>147381</v>
      </c>
    </row>
    <row r="53" spans="1:6" x14ac:dyDescent="0.25">
      <c r="B53" t="s">
        <v>462</v>
      </c>
      <c r="C53" s="142" t="s">
        <v>459</v>
      </c>
      <c r="D53" s="140">
        <v>308820</v>
      </c>
    </row>
    <row r="54" spans="1:6" x14ac:dyDescent="0.25">
      <c r="B54" t="s">
        <v>462</v>
      </c>
      <c r="C54" s="144" t="s">
        <v>460</v>
      </c>
      <c r="D54" s="145">
        <v>1530961</v>
      </c>
      <c r="E54" s="5">
        <f>SUM(D50:D54)</f>
        <v>7675926</v>
      </c>
      <c r="F54" t="s">
        <v>541</v>
      </c>
    </row>
    <row r="55" spans="1:6" x14ac:dyDescent="0.25">
      <c r="D55" s="5">
        <f>SUM(D49:D54)</f>
        <v>9135926</v>
      </c>
      <c r="E55" s="5">
        <f>8000000-E54</f>
        <v>324074</v>
      </c>
      <c r="F55" t="s">
        <v>542</v>
      </c>
    </row>
    <row r="56" spans="1:6" x14ac:dyDescent="0.25">
      <c r="D56" s="5">
        <f>SUM(D50:D54)</f>
        <v>7675926</v>
      </c>
    </row>
    <row r="59" spans="1:6" x14ac:dyDescent="0.25">
      <c r="A59" t="s">
        <v>512</v>
      </c>
      <c r="C59" t="s">
        <v>513</v>
      </c>
      <c r="D59" s="18">
        <v>454000</v>
      </c>
    </row>
    <row r="60" spans="1:6" x14ac:dyDescent="0.25">
      <c r="C60" t="s">
        <v>470</v>
      </c>
      <c r="D60" s="18">
        <v>36360</v>
      </c>
    </row>
    <row r="61" spans="1:6" x14ac:dyDescent="0.25">
      <c r="D61" s="5">
        <f>D59+D60</f>
        <v>490360</v>
      </c>
    </row>
    <row r="62" spans="1:6" x14ac:dyDescent="0.25">
      <c r="C62" t="s">
        <v>461</v>
      </c>
      <c r="D62" s="18">
        <v>1000000</v>
      </c>
    </row>
    <row r="64" spans="1:6" x14ac:dyDescent="0.25">
      <c r="C64" t="s">
        <v>607</v>
      </c>
      <c r="D64" s="18">
        <v>1729800</v>
      </c>
    </row>
    <row r="67" spans="1:8" x14ac:dyDescent="0.25">
      <c r="A67" s="84" t="s">
        <v>343</v>
      </c>
      <c r="B67" s="85" t="s">
        <v>346</v>
      </c>
      <c r="C67" s="85" t="s">
        <v>337</v>
      </c>
      <c r="D67" s="85" t="s">
        <v>338</v>
      </c>
      <c r="E67" s="85" t="s">
        <v>339</v>
      </c>
      <c r="F67" s="85" t="s">
        <v>342</v>
      </c>
      <c r="G67" s="85" t="s">
        <v>351</v>
      </c>
      <c r="H67" s="86" t="s">
        <v>25</v>
      </c>
    </row>
    <row r="68" spans="1:8" x14ac:dyDescent="0.25">
      <c r="A68" s="842">
        <v>46130</v>
      </c>
      <c r="C68" s="18">
        <v>2756222</v>
      </c>
      <c r="E68">
        <v>5732523</v>
      </c>
    </row>
    <row r="70" spans="1:8" x14ac:dyDescent="0.25">
      <c r="A70" t="s">
        <v>1332</v>
      </c>
      <c r="C70" s="18">
        <v>1438654</v>
      </c>
      <c r="D70" s="18"/>
      <c r="E70" s="18"/>
      <c r="F70" s="18"/>
      <c r="G70" s="18"/>
    </row>
  </sheetData>
  <mergeCells count="2">
    <mergeCell ref="A5:G5"/>
    <mergeCell ref="A2:H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51532-FC4A-43E4-AB49-4D177A510D8F}">
  <dimension ref="A2:U104"/>
  <sheetViews>
    <sheetView topLeftCell="A15" workbookViewId="0">
      <selection activeCell="G82" sqref="G82"/>
    </sheetView>
  </sheetViews>
  <sheetFormatPr defaultRowHeight="15" x14ac:dyDescent="0.25"/>
  <cols>
    <col min="1" max="1" width="10.7109375" customWidth="1"/>
    <col min="3" max="3" width="16.42578125" customWidth="1"/>
    <col min="4" max="4" width="11.5703125" bestFit="1" customWidth="1"/>
    <col min="5" max="5" width="14.140625" customWidth="1"/>
    <col min="6" max="6" width="12" customWidth="1"/>
    <col min="7" max="7" width="12" bestFit="1" customWidth="1"/>
    <col min="8" max="8" width="14" customWidth="1"/>
    <col min="10" max="10" width="10.7109375" bestFit="1" customWidth="1"/>
    <col min="11" max="11" width="13.85546875" bestFit="1" customWidth="1"/>
    <col min="12" max="12" width="11.5703125" bestFit="1" customWidth="1"/>
    <col min="13" max="13" width="12.85546875" customWidth="1"/>
    <col min="14" max="14" width="12" customWidth="1"/>
    <col min="15" max="16" width="13.42578125" customWidth="1"/>
    <col min="18" max="18" width="27.5703125" customWidth="1"/>
    <col min="19" max="19" width="21.5703125" style="18" customWidth="1"/>
    <col min="21" max="21" width="12.5703125" style="18" bestFit="1" customWidth="1"/>
  </cols>
  <sheetData>
    <row r="2" spans="1:21" ht="15.75" thickBot="1" x14ac:dyDescent="0.3">
      <c r="H2" s="18"/>
    </row>
    <row r="3" spans="1:21" ht="15.75" thickBot="1" x14ac:dyDescent="0.3">
      <c r="A3" s="1222" t="s">
        <v>340</v>
      </c>
      <c r="B3" s="1223"/>
      <c r="C3" s="1223"/>
      <c r="D3" s="1223"/>
      <c r="E3" s="1223"/>
      <c r="F3" s="1223"/>
      <c r="G3" s="1223"/>
      <c r="H3" s="1224"/>
      <c r="R3" t="s">
        <v>608</v>
      </c>
    </row>
    <row r="4" spans="1:21" ht="15.75" thickBot="1" x14ac:dyDescent="0.3">
      <c r="H4" s="18"/>
      <c r="R4" s="307" t="s">
        <v>609</v>
      </c>
      <c r="S4" s="310" t="s">
        <v>610</v>
      </c>
      <c r="T4" t="s">
        <v>614</v>
      </c>
    </row>
    <row r="5" spans="1:21" ht="15.75" thickBot="1" x14ac:dyDescent="0.3">
      <c r="A5" s="304" t="s">
        <v>343</v>
      </c>
      <c r="B5" s="305" t="s">
        <v>346</v>
      </c>
      <c r="C5" s="305" t="s">
        <v>337</v>
      </c>
      <c r="D5" s="305" t="s">
        <v>338</v>
      </c>
      <c r="E5" s="305" t="s">
        <v>339</v>
      </c>
      <c r="F5" s="305" t="s">
        <v>342</v>
      </c>
      <c r="G5" s="305" t="s">
        <v>351</v>
      </c>
      <c r="H5" s="306" t="s">
        <v>25</v>
      </c>
      <c r="R5" s="308" t="s">
        <v>611</v>
      </c>
      <c r="S5" s="324" t="s">
        <v>612</v>
      </c>
    </row>
    <row r="6" spans="1:21" ht="15.75" thickBot="1" x14ac:dyDescent="0.3">
      <c r="A6" s="1222" t="s">
        <v>341</v>
      </c>
      <c r="B6" s="1223"/>
      <c r="C6" s="1223"/>
      <c r="D6" s="1223"/>
      <c r="E6" s="1223"/>
      <c r="F6" s="1223"/>
      <c r="G6" s="1224"/>
      <c r="H6" s="87">
        <v>20000000</v>
      </c>
      <c r="J6" s="92" t="s">
        <v>350</v>
      </c>
      <c r="K6" s="93" t="s">
        <v>347</v>
      </c>
      <c r="L6" s="92" t="s">
        <v>348</v>
      </c>
      <c r="M6" s="94" t="s">
        <v>26</v>
      </c>
      <c r="N6" s="92" t="s">
        <v>338</v>
      </c>
      <c r="O6" s="92" t="s">
        <v>18</v>
      </c>
      <c r="P6" s="95" t="s">
        <v>349</v>
      </c>
      <c r="R6" s="309" t="s">
        <v>613</v>
      </c>
      <c r="S6" s="325" t="s">
        <v>610</v>
      </c>
    </row>
    <row r="7" spans="1:21" x14ac:dyDescent="0.25">
      <c r="A7" s="83">
        <v>46022</v>
      </c>
      <c r="B7" s="246" t="s">
        <v>344</v>
      </c>
      <c r="C7" s="149">
        <v>3409355</v>
      </c>
      <c r="D7" s="3">
        <v>9311464</v>
      </c>
      <c r="E7" s="3">
        <v>2957686</v>
      </c>
      <c r="F7" s="3">
        <v>2695209</v>
      </c>
      <c r="G7" s="3">
        <v>9626286</v>
      </c>
      <c r="H7" s="3">
        <f>SUM(C7:G7)</f>
        <v>28000000</v>
      </c>
      <c r="J7" s="13">
        <v>46022</v>
      </c>
      <c r="K7" s="3">
        <v>4004550</v>
      </c>
      <c r="L7" s="3">
        <v>2285532</v>
      </c>
      <c r="M7" s="3">
        <f>K7-L7</f>
        <v>1719018</v>
      </c>
      <c r="N7" s="3">
        <v>0</v>
      </c>
      <c r="O7" s="115">
        <f>+K7-P7</f>
        <v>2837490</v>
      </c>
      <c r="P7" s="3">
        <v>1167060</v>
      </c>
    </row>
    <row r="8" spans="1:21" ht="15.75" thickBot="1" x14ac:dyDescent="0.3">
      <c r="B8" s="247" t="s">
        <v>345</v>
      </c>
      <c r="C8" s="149">
        <v>4411073</v>
      </c>
      <c r="D8" s="245">
        <f>D7+N7</f>
        <v>9311464</v>
      </c>
      <c r="E8" s="3">
        <v>2837496</v>
      </c>
      <c r="F8" s="3">
        <v>1421432</v>
      </c>
      <c r="G8" s="3">
        <f>G7-7675926</f>
        <v>1950360</v>
      </c>
      <c r="H8" s="3">
        <f>SUM(C8:G8)</f>
        <v>19931825</v>
      </c>
      <c r="J8" s="13">
        <v>46024</v>
      </c>
      <c r="K8" s="3">
        <v>1936396</v>
      </c>
      <c r="L8" s="3">
        <v>1583736</v>
      </c>
      <c r="M8" s="3">
        <f t="shared" ref="M8:M37" si="0">K8-L8</f>
        <v>352660</v>
      </c>
      <c r="N8" s="245">
        <v>67160</v>
      </c>
      <c r="O8" s="115">
        <f>+K8-P8</f>
        <v>1403513</v>
      </c>
      <c r="P8" s="3">
        <v>532883</v>
      </c>
    </row>
    <row r="9" spans="1:21" x14ac:dyDescent="0.25">
      <c r="A9" s="83">
        <v>46024</v>
      </c>
      <c r="B9" s="89" t="s">
        <v>344</v>
      </c>
      <c r="C9" s="149">
        <v>4411073</v>
      </c>
      <c r="D9" s="3">
        <v>9379639</v>
      </c>
      <c r="E9" s="3">
        <v>2837496</v>
      </c>
      <c r="F9" s="3">
        <v>1421432</v>
      </c>
      <c r="G9" s="3">
        <v>1950360</v>
      </c>
      <c r="H9" s="3">
        <f>SUM(C9:G9)</f>
        <v>20000000</v>
      </c>
      <c r="J9" s="13">
        <v>46025</v>
      </c>
      <c r="K9" s="3">
        <v>4719979</v>
      </c>
      <c r="L9" s="3">
        <v>4554439</v>
      </c>
      <c r="M9" s="3">
        <f t="shared" si="0"/>
        <v>165540</v>
      </c>
      <c r="N9" s="245">
        <v>66176</v>
      </c>
      <c r="O9" s="115">
        <f t="shared" ref="O9:O37" si="1">+K9-P9</f>
        <v>3434261</v>
      </c>
      <c r="P9" s="3">
        <v>1285718</v>
      </c>
    </row>
    <row r="10" spans="1:21" ht="15.75" thickBot="1" x14ac:dyDescent="0.3">
      <c r="B10" s="135" t="s">
        <v>345</v>
      </c>
      <c r="C10" s="149">
        <v>4502748</v>
      </c>
      <c r="D10" s="3">
        <f>D9+N8</f>
        <v>9446799</v>
      </c>
      <c r="E10" s="3">
        <v>2709108</v>
      </c>
      <c r="F10" s="3">
        <f>H10-G10-E10-D10-C10</f>
        <v>1390985</v>
      </c>
      <c r="G10" s="3">
        <v>1950360</v>
      </c>
      <c r="H10" s="3">
        <v>20000000</v>
      </c>
      <c r="J10" s="13">
        <v>46026</v>
      </c>
      <c r="K10" s="127">
        <v>1251692</v>
      </c>
      <c r="L10" s="3">
        <v>805032</v>
      </c>
      <c r="M10" s="3">
        <f t="shared" si="0"/>
        <v>446660</v>
      </c>
      <c r="N10" s="3">
        <v>0</v>
      </c>
      <c r="O10" s="115">
        <f t="shared" si="1"/>
        <v>914285</v>
      </c>
      <c r="P10" s="165">
        <v>337407</v>
      </c>
    </row>
    <row r="11" spans="1:21" ht="15.75" thickBot="1" x14ac:dyDescent="0.3">
      <c r="A11" s="83">
        <v>46025</v>
      </c>
      <c r="B11" s="112" t="s">
        <v>344</v>
      </c>
      <c r="C11" s="149">
        <v>4502748</v>
      </c>
      <c r="D11" s="3">
        <v>9446799</v>
      </c>
      <c r="E11" s="3">
        <v>2709108</v>
      </c>
      <c r="F11" s="3">
        <v>1390985</v>
      </c>
      <c r="G11" s="3">
        <v>1950360</v>
      </c>
      <c r="H11" s="3">
        <f>SUM(C11:G11)</f>
        <v>20000000</v>
      </c>
      <c r="J11" s="13">
        <v>46027</v>
      </c>
      <c r="K11" s="3">
        <v>2318759</v>
      </c>
      <c r="L11" s="3">
        <v>2183924</v>
      </c>
      <c r="M11" s="3">
        <f t="shared" si="0"/>
        <v>134835</v>
      </c>
      <c r="N11" s="245">
        <f>158368+16160+33330+20200+16160+30800+20200</f>
        <v>295218</v>
      </c>
      <c r="O11" s="115">
        <f t="shared" si="1"/>
        <v>1675758</v>
      </c>
      <c r="P11" s="3">
        <v>643001</v>
      </c>
      <c r="R11" s="326" t="s">
        <v>631</v>
      </c>
      <c r="S11" s="66">
        <f>300000+200000+75000</f>
        <v>575000</v>
      </c>
    </row>
    <row r="12" spans="1:21" ht="15.75" thickBot="1" x14ac:dyDescent="0.3">
      <c r="B12" s="111" t="s">
        <v>345</v>
      </c>
      <c r="C12" s="349">
        <v>4312366</v>
      </c>
      <c r="D12" s="14">
        <f>D11+N9</f>
        <v>9512975</v>
      </c>
      <c r="E12" s="3">
        <v>2630769</v>
      </c>
      <c r="F12" s="3">
        <f>H12-G12-E12-D12-C12</f>
        <v>1593530</v>
      </c>
      <c r="G12" s="3">
        <v>1950360</v>
      </c>
      <c r="H12" s="3">
        <v>20000000</v>
      </c>
      <c r="J12" s="13">
        <v>46028</v>
      </c>
      <c r="K12" s="3">
        <v>4939953</v>
      </c>
      <c r="L12" s="3">
        <v>3397249</v>
      </c>
      <c r="M12" s="3">
        <f t="shared" si="0"/>
        <v>1542704</v>
      </c>
      <c r="N12" s="245">
        <f>33330+30800</f>
        <v>64130</v>
      </c>
      <c r="O12" s="115">
        <f t="shared" si="1"/>
        <v>3545694</v>
      </c>
      <c r="P12" s="3">
        <v>1394259</v>
      </c>
      <c r="R12" t="s">
        <v>632</v>
      </c>
      <c r="S12" s="18">
        <v>70000</v>
      </c>
      <c r="U12" s="18">
        <v>900000</v>
      </c>
    </row>
    <row r="13" spans="1:21" x14ac:dyDescent="0.25">
      <c r="A13" s="83">
        <v>46026</v>
      </c>
      <c r="B13" s="83" t="s">
        <v>344</v>
      </c>
      <c r="C13" s="3">
        <v>4312366</v>
      </c>
      <c r="D13" s="3">
        <v>9512975</v>
      </c>
      <c r="E13" s="3">
        <v>2630769</v>
      </c>
      <c r="F13" s="3">
        <v>1593530</v>
      </c>
      <c r="G13" s="3">
        <v>1950360</v>
      </c>
      <c r="H13" s="3">
        <f>SUM(C13:G13)</f>
        <v>20000000</v>
      </c>
      <c r="J13" s="13">
        <v>46029</v>
      </c>
      <c r="K13" s="3">
        <v>6386237</v>
      </c>
      <c r="L13" s="3">
        <v>6218527</v>
      </c>
      <c r="M13" s="3">
        <f t="shared" si="0"/>
        <v>167710</v>
      </c>
      <c r="N13" s="245">
        <f>16160+20200+20200+27775</f>
        <v>84335</v>
      </c>
      <c r="O13" s="115">
        <f t="shared" si="1"/>
        <v>4587471</v>
      </c>
      <c r="P13" s="165">
        <v>1798766</v>
      </c>
      <c r="R13" t="s">
        <v>633</v>
      </c>
      <c r="S13" s="18">
        <v>250000</v>
      </c>
    </row>
    <row r="14" spans="1:21" ht="15.75" thickBot="1" x14ac:dyDescent="0.3">
      <c r="B14" t="s">
        <v>345</v>
      </c>
      <c r="C14" s="14">
        <f>C13+M10</f>
        <v>4759026</v>
      </c>
      <c r="D14" s="14">
        <f>D13</f>
        <v>9512975</v>
      </c>
      <c r="E14" s="3">
        <v>2716485</v>
      </c>
      <c r="F14" s="3">
        <f>H14-G14-E14-D14-C14</f>
        <v>1061154</v>
      </c>
      <c r="G14" s="3">
        <f>G13</f>
        <v>1950360</v>
      </c>
      <c r="H14" s="3">
        <f>H13</f>
        <v>20000000</v>
      </c>
      <c r="J14" s="13">
        <v>46030</v>
      </c>
      <c r="K14" s="3">
        <v>3245205</v>
      </c>
      <c r="L14" s="3">
        <v>3155718</v>
      </c>
      <c r="M14" s="3">
        <f t="shared" si="0"/>
        <v>89487</v>
      </c>
      <c r="N14" s="245">
        <v>67160</v>
      </c>
      <c r="O14" s="115">
        <f t="shared" si="1"/>
        <v>2319529</v>
      </c>
      <c r="P14" s="3">
        <v>925676</v>
      </c>
      <c r="R14" t="s">
        <v>634</v>
      </c>
      <c r="S14" s="18">
        <f>SUM(S11:S13)</f>
        <v>895000</v>
      </c>
    </row>
    <row r="15" spans="1:21" ht="15.75" thickBot="1" x14ac:dyDescent="0.3">
      <c r="A15" s="83">
        <v>46027</v>
      </c>
      <c r="B15" s="112" t="s">
        <v>344</v>
      </c>
      <c r="C15" s="149">
        <v>4759026</v>
      </c>
      <c r="D15" s="3">
        <v>9512975</v>
      </c>
      <c r="E15" s="3">
        <v>2716485</v>
      </c>
      <c r="F15" s="3">
        <v>1061154</v>
      </c>
      <c r="G15" s="3">
        <v>1950360</v>
      </c>
      <c r="H15" s="3">
        <f>SUM(C15:G15)</f>
        <v>20000000</v>
      </c>
      <c r="J15" s="13">
        <v>46031</v>
      </c>
      <c r="K15" s="3">
        <v>9559301</v>
      </c>
      <c r="L15" s="3">
        <v>8683706</v>
      </c>
      <c r="M15" s="3">
        <f t="shared" si="0"/>
        <v>875595</v>
      </c>
      <c r="N15" s="468">
        <f>201650+40400+52530</f>
        <v>294580</v>
      </c>
      <c r="O15" s="115">
        <f t="shared" si="1"/>
        <v>6892006</v>
      </c>
      <c r="P15" s="3">
        <v>2667295</v>
      </c>
      <c r="R15" t="s">
        <v>638</v>
      </c>
      <c r="S15" s="18">
        <v>100000</v>
      </c>
    </row>
    <row r="16" spans="1:21" ht="15.75" thickBot="1" x14ac:dyDescent="0.3">
      <c r="B16" s="111" t="s">
        <v>345</v>
      </c>
      <c r="C16" s="348"/>
      <c r="D16" s="14">
        <f>D15+N11</f>
        <v>9808193</v>
      </c>
      <c r="E16" s="3"/>
      <c r="F16" s="3"/>
      <c r="G16" s="4"/>
      <c r="H16" s="3"/>
      <c r="J16" s="13">
        <v>46032</v>
      </c>
      <c r="K16" s="160">
        <v>8015526</v>
      </c>
      <c r="L16" s="3">
        <v>7888264</v>
      </c>
      <c r="M16" s="3">
        <f t="shared" si="0"/>
        <v>127262</v>
      </c>
      <c r="N16" s="3">
        <v>0</v>
      </c>
      <c r="O16" s="115">
        <f t="shared" si="1"/>
        <v>5723219</v>
      </c>
      <c r="P16" s="3">
        <v>2292307</v>
      </c>
      <c r="R16" t="s">
        <v>635</v>
      </c>
      <c r="S16" s="18">
        <v>100000</v>
      </c>
    </row>
    <row r="17" spans="1:21" x14ac:dyDescent="0.25">
      <c r="A17" s="83">
        <v>46028</v>
      </c>
      <c r="B17" s="83" t="s">
        <v>344</v>
      </c>
      <c r="C17" s="4"/>
      <c r="D17" s="3">
        <f>D16</f>
        <v>9808193</v>
      </c>
      <c r="E17" s="4"/>
      <c r="F17" s="3"/>
      <c r="G17" s="4"/>
      <c r="H17" s="3"/>
      <c r="J17" s="220">
        <v>46033</v>
      </c>
      <c r="K17" s="221"/>
      <c r="L17" s="221"/>
      <c r="M17" s="221">
        <f t="shared" si="0"/>
        <v>0</v>
      </c>
      <c r="N17" s="221"/>
      <c r="O17" s="221">
        <f t="shared" si="1"/>
        <v>0</v>
      </c>
      <c r="P17" s="221"/>
      <c r="R17" t="s">
        <v>636</v>
      </c>
      <c r="S17" s="18">
        <v>25000</v>
      </c>
      <c r="U17" s="18">
        <f>U12-S11-S15-S16-S17-S18</f>
        <v>0</v>
      </c>
    </row>
    <row r="18" spans="1:21" ht="15.75" thickBot="1" x14ac:dyDescent="0.3">
      <c r="B18" t="s">
        <v>345</v>
      </c>
      <c r="C18" s="3">
        <v>3435651</v>
      </c>
      <c r="D18" s="14">
        <f>D17-9379639+64130</f>
        <v>492684</v>
      </c>
      <c r="E18" s="3">
        <v>4063013</v>
      </c>
      <c r="F18" s="3">
        <f>H18-G18-E18-D18-C18</f>
        <v>5058292</v>
      </c>
      <c r="G18" s="3">
        <v>1950360</v>
      </c>
      <c r="H18" s="3">
        <v>15000000</v>
      </c>
      <c r="J18" s="13">
        <v>46034</v>
      </c>
      <c r="K18" s="3">
        <v>4689448</v>
      </c>
      <c r="L18" s="3">
        <v>4569056</v>
      </c>
      <c r="M18" s="3">
        <f>K18-L18</f>
        <v>120392</v>
      </c>
      <c r="N18" s="245">
        <f>20200+20200+99990+16160+89816</f>
        <v>246366</v>
      </c>
      <c r="O18" s="115">
        <f t="shared" si="1"/>
        <v>3385695</v>
      </c>
      <c r="P18" s="3">
        <v>1303753</v>
      </c>
      <c r="R18" t="s">
        <v>637</v>
      </c>
      <c r="S18" s="18">
        <v>100000</v>
      </c>
    </row>
    <row r="19" spans="1:21" ht="15.75" thickBot="1" x14ac:dyDescent="0.3">
      <c r="A19" s="83">
        <v>46029</v>
      </c>
      <c r="B19" s="112" t="s">
        <v>344</v>
      </c>
      <c r="C19" s="149">
        <v>3435651</v>
      </c>
      <c r="D19" s="3">
        <v>492684</v>
      </c>
      <c r="E19" s="3">
        <v>4063013</v>
      </c>
      <c r="F19" s="3">
        <v>5058292</v>
      </c>
      <c r="G19" s="3">
        <v>1950360</v>
      </c>
      <c r="H19" s="3">
        <f>SUM(C19:G19)</f>
        <v>15000000</v>
      </c>
      <c r="J19" s="13">
        <v>46035</v>
      </c>
      <c r="K19" s="3">
        <v>2312059</v>
      </c>
      <c r="L19" s="3">
        <v>1109460</v>
      </c>
      <c r="M19" s="3">
        <f t="shared" si="0"/>
        <v>1202599</v>
      </c>
      <c r="N19" s="245">
        <f>16160+33330</f>
        <v>49490</v>
      </c>
      <c r="O19" s="115">
        <f t="shared" si="1"/>
        <v>1651458</v>
      </c>
      <c r="P19" s="3">
        <v>660601</v>
      </c>
    </row>
    <row r="20" spans="1:21" ht="15.75" thickBot="1" x14ac:dyDescent="0.3">
      <c r="B20" s="111" t="s">
        <v>345</v>
      </c>
      <c r="C20" s="149">
        <v>3603361</v>
      </c>
      <c r="D20" s="3">
        <f>D19+N13</f>
        <v>577019</v>
      </c>
      <c r="E20" s="3">
        <v>4475542</v>
      </c>
      <c r="F20" s="3">
        <f>H20-C20-D20-E20-G20</f>
        <v>4393718</v>
      </c>
      <c r="G20" s="3">
        <v>1950360</v>
      </c>
      <c r="H20" s="3">
        <v>15000000</v>
      </c>
      <c r="J20" s="13">
        <v>46036</v>
      </c>
      <c r="K20" s="3">
        <v>4201189</v>
      </c>
      <c r="L20" s="3">
        <v>3856879</v>
      </c>
      <c r="M20" s="3">
        <f t="shared" si="0"/>
        <v>344310</v>
      </c>
      <c r="N20" s="245">
        <f>33330+25553+25553</f>
        <v>84436</v>
      </c>
      <c r="O20" s="115">
        <f t="shared" si="1"/>
        <v>3030545</v>
      </c>
      <c r="P20" s="3">
        <v>1170644</v>
      </c>
      <c r="R20" t="s">
        <v>639</v>
      </c>
      <c r="S20" s="18">
        <f>P15</f>
        <v>2667295</v>
      </c>
    </row>
    <row r="21" spans="1:21" x14ac:dyDescent="0.25">
      <c r="A21" s="83">
        <v>46030</v>
      </c>
      <c r="B21" s="136" t="s">
        <v>344</v>
      </c>
      <c r="C21" s="3">
        <v>3603361</v>
      </c>
      <c r="D21" s="3">
        <v>577019</v>
      </c>
      <c r="E21" s="3">
        <v>4475542</v>
      </c>
      <c r="F21" s="3">
        <v>4393718</v>
      </c>
      <c r="G21" s="3">
        <v>1950360</v>
      </c>
      <c r="H21" s="3">
        <f>SUM(C21:G21)</f>
        <v>15000000</v>
      </c>
      <c r="J21" s="13">
        <v>46037</v>
      </c>
      <c r="K21" s="3">
        <v>4950942</v>
      </c>
      <c r="L21" s="3">
        <v>4696826</v>
      </c>
      <c r="M21" s="3">
        <f t="shared" si="0"/>
        <v>254116</v>
      </c>
      <c r="N21" s="245">
        <f>33330+30800+20200+16160+20200+78832</f>
        <v>199522</v>
      </c>
      <c r="O21" s="115">
        <f t="shared" si="1"/>
        <v>3565599</v>
      </c>
      <c r="P21" s="3">
        <v>1385343</v>
      </c>
      <c r="R21" t="s">
        <v>640</v>
      </c>
    </row>
    <row r="22" spans="1:21" ht="15.75" thickBot="1" x14ac:dyDescent="0.3">
      <c r="B22" s="137" t="s">
        <v>345</v>
      </c>
      <c r="C22" s="3">
        <v>3482162</v>
      </c>
      <c r="D22" s="3">
        <f>D21+N14</f>
        <v>644179</v>
      </c>
      <c r="E22" s="3">
        <v>6366699</v>
      </c>
      <c r="F22" s="3">
        <f>H22-G22-E22-D22-C22</f>
        <v>2556600</v>
      </c>
      <c r="G22" s="3">
        <f>G21</f>
        <v>1950360</v>
      </c>
      <c r="H22" s="3">
        <v>15000000</v>
      </c>
      <c r="J22" s="13">
        <v>46038</v>
      </c>
      <c r="K22" s="3">
        <v>550840</v>
      </c>
      <c r="L22" s="3">
        <v>485186</v>
      </c>
      <c r="M22" s="3">
        <f t="shared" si="0"/>
        <v>65654</v>
      </c>
      <c r="N22" s="3">
        <v>0</v>
      </c>
      <c r="O22" s="115">
        <f t="shared" si="1"/>
        <v>392188</v>
      </c>
      <c r="P22" s="3">
        <v>158652</v>
      </c>
      <c r="S22" s="18">
        <f>S20+S18+S16+S15+S17</f>
        <v>2992295</v>
      </c>
    </row>
    <row r="23" spans="1:21" ht="15.75" thickBot="1" x14ac:dyDescent="0.3">
      <c r="A23" s="83">
        <v>46031</v>
      </c>
      <c r="B23" s="112" t="s">
        <v>344</v>
      </c>
      <c r="C23" s="149">
        <v>3482162</v>
      </c>
      <c r="D23" s="3">
        <v>644179</v>
      </c>
      <c r="E23" s="3">
        <v>6366699</v>
      </c>
      <c r="F23" s="3">
        <v>2556600</v>
      </c>
      <c r="G23" s="3">
        <v>1950360</v>
      </c>
      <c r="H23" s="3">
        <f>SUM(C23:G23)</f>
        <v>15000000</v>
      </c>
      <c r="J23" s="13">
        <v>46039</v>
      </c>
      <c r="K23" s="3">
        <v>4067571</v>
      </c>
      <c r="L23" s="3">
        <v>3611860</v>
      </c>
      <c r="M23" s="3">
        <f t="shared" si="0"/>
        <v>455711</v>
      </c>
      <c r="N23" s="3">
        <v>0</v>
      </c>
      <c r="O23" s="115">
        <f t="shared" si="1"/>
        <v>2905350</v>
      </c>
      <c r="P23" s="3">
        <v>1162221</v>
      </c>
    </row>
    <row r="24" spans="1:21" ht="15.75" thickBot="1" x14ac:dyDescent="0.3">
      <c r="B24" s="150" t="s">
        <v>345</v>
      </c>
      <c r="C24" s="149">
        <v>4090813</v>
      </c>
      <c r="D24" s="14">
        <f>D23+N15</f>
        <v>938759</v>
      </c>
      <c r="E24" s="3">
        <v>3741638</v>
      </c>
      <c r="F24" s="14">
        <f>H24-G24-E24-D24-C24</f>
        <v>4278430</v>
      </c>
      <c r="G24" s="3">
        <f>G23</f>
        <v>1950360</v>
      </c>
      <c r="H24" s="3">
        <v>15000000</v>
      </c>
      <c r="J24" s="13">
        <v>46040</v>
      </c>
      <c r="K24" s="3">
        <v>151500</v>
      </c>
      <c r="L24" s="3">
        <v>151500</v>
      </c>
      <c r="M24" s="3">
        <f t="shared" si="0"/>
        <v>0</v>
      </c>
      <c r="N24" s="4">
        <v>0</v>
      </c>
      <c r="O24" s="115">
        <f t="shared" si="1"/>
        <v>107550</v>
      </c>
      <c r="P24" s="3">
        <v>43950</v>
      </c>
      <c r="R24" t="s">
        <v>640</v>
      </c>
      <c r="S24" s="18">
        <v>4900000</v>
      </c>
    </row>
    <row r="25" spans="1:21" x14ac:dyDescent="0.25">
      <c r="A25" s="83">
        <v>46032</v>
      </c>
      <c r="B25" s="136" t="s">
        <v>344</v>
      </c>
      <c r="C25" s="3">
        <v>4090813</v>
      </c>
      <c r="D25" s="14">
        <v>938759</v>
      </c>
      <c r="E25" s="3">
        <v>3741638</v>
      </c>
      <c r="F25" s="14">
        <v>4278430</v>
      </c>
      <c r="G25" s="3">
        <v>1950360</v>
      </c>
      <c r="H25" s="3">
        <v>15000000</v>
      </c>
      <c r="J25" s="13">
        <v>46041</v>
      </c>
      <c r="K25" s="3">
        <v>5554570</v>
      </c>
      <c r="L25" s="3">
        <v>5189050</v>
      </c>
      <c r="M25" s="3">
        <f t="shared" si="0"/>
        <v>365520</v>
      </c>
      <c r="N25" s="245">
        <f>20200+16160+30800+20200</f>
        <v>87360</v>
      </c>
      <c r="O25" s="115">
        <f t="shared" si="1"/>
        <v>3986559</v>
      </c>
      <c r="P25" s="3">
        <v>1568011</v>
      </c>
      <c r="R25" t="s">
        <v>641</v>
      </c>
      <c r="S25" s="18">
        <f>S24-F24</f>
        <v>621570</v>
      </c>
    </row>
    <row r="26" spans="1:21" ht="15.75" thickBot="1" x14ac:dyDescent="0.3">
      <c r="B26" s="137" t="s">
        <v>345</v>
      </c>
      <c r="C26" s="3">
        <v>4218075</v>
      </c>
      <c r="D26" s="14">
        <f>D25</f>
        <v>938759</v>
      </c>
      <c r="E26" s="3">
        <v>5018419</v>
      </c>
      <c r="F26" s="14">
        <f>H26-G26-E26-D26-C26</f>
        <v>2874387</v>
      </c>
      <c r="G26" s="3">
        <f>G25</f>
        <v>1950360</v>
      </c>
      <c r="H26" s="3">
        <v>15000000</v>
      </c>
      <c r="J26" s="13">
        <v>46042</v>
      </c>
      <c r="K26" s="3">
        <v>924355</v>
      </c>
      <c r="L26" s="3">
        <v>592871</v>
      </c>
      <c r="M26" s="3">
        <f t="shared" si="0"/>
        <v>331484</v>
      </c>
      <c r="N26" s="245">
        <f>30800+16160+33330+20200</f>
        <v>100490</v>
      </c>
      <c r="O26" s="115">
        <f t="shared" si="1"/>
        <v>680921</v>
      </c>
      <c r="P26" s="3">
        <v>243434</v>
      </c>
    </row>
    <row r="27" spans="1:21" ht="15.75" thickBot="1" x14ac:dyDescent="0.3">
      <c r="A27" s="83">
        <v>46033</v>
      </c>
      <c r="B27" s="112" t="s">
        <v>344</v>
      </c>
      <c r="C27" s="348">
        <v>4218075</v>
      </c>
      <c r="D27" s="3">
        <v>938759</v>
      </c>
      <c r="E27" s="34">
        <v>5018419</v>
      </c>
      <c r="F27" s="3">
        <v>2874387</v>
      </c>
      <c r="G27" s="3">
        <v>1950360</v>
      </c>
      <c r="H27" s="3">
        <v>15000000</v>
      </c>
      <c r="J27" s="13">
        <v>46043</v>
      </c>
      <c r="K27" s="3">
        <v>1459048</v>
      </c>
      <c r="L27" s="3">
        <v>259775</v>
      </c>
      <c r="M27" s="3">
        <f t="shared" si="0"/>
        <v>1199273</v>
      </c>
      <c r="N27" s="245">
        <v>64135</v>
      </c>
      <c r="O27" s="115">
        <f t="shared" si="1"/>
        <v>1064039</v>
      </c>
      <c r="P27" s="3">
        <v>395009</v>
      </c>
    </row>
    <row r="28" spans="1:21" ht="15.75" thickBot="1" x14ac:dyDescent="0.3">
      <c r="B28" s="111" t="s">
        <v>345</v>
      </c>
      <c r="C28" s="348">
        <v>4218075</v>
      </c>
      <c r="D28" s="14">
        <v>938759</v>
      </c>
      <c r="E28" s="34">
        <v>5018419</v>
      </c>
      <c r="F28" s="14">
        <v>2874387</v>
      </c>
      <c r="G28" s="3">
        <v>1950360</v>
      </c>
      <c r="H28" s="3">
        <v>15000000</v>
      </c>
      <c r="J28" s="13">
        <v>46044</v>
      </c>
      <c r="K28" s="3">
        <v>7508149</v>
      </c>
      <c r="L28" s="3">
        <v>6559758</v>
      </c>
      <c r="M28" s="3">
        <f t="shared" si="0"/>
        <v>948391</v>
      </c>
      <c r="N28" s="3">
        <v>0</v>
      </c>
      <c r="O28" s="115">
        <f t="shared" si="1"/>
        <v>5421227</v>
      </c>
      <c r="P28" s="3">
        <v>2086922</v>
      </c>
    </row>
    <row r="29" spans="1:21" x14ac:dyDescent="0.25">
      <c r="A29" s="83">
        <v>46034</v>
      </c>
      <c r="B29" s="136" t="s">
        <v>344</v>
      </c>
      <c r="C29" s="34">
        <v>4218075</v>
      </c>
      <c r="D29" s="34">
        <v>938759</v>
      </c>
      <c r="E29" s="34">
        <v>5018419</v>
      </c>
      <c r="F29" s="34">
        <v>2874387</v>
      </c>
      <c r="G29" s="34">
        <v>1950360</v>
      </c>
      <c r="H29" s="34">
        <v>15000000</v>
      </c>
      <c r="J29" s="13">
        <v>46045</v>
      </c>
      <c r="K29" s="3">
        <v>480966</v>
      </c>
      <c r="L29" s="3">
        <v>197156</v>
      </c>
      <c r="M29" s="3">
        <f t="shared" si="0"/>
        <v>283810</v>
      </c>
      <c r="N29" s="245">
        <v>84335</v>
      </c>
      <c r="O29" s="115">
        <f t="shared" si="1"/>
        <v>350732</v>
      </c>
      <c r="P29" s="3">
        <v>130234</v>
      </c>
    </row>
    <row r="30" spans="1:21" ht="15.75" thickBot="1" x14ac:dyDescent="0.3">
      <c r="B30" t="s">
        <v>345</v>
      </c>
      <c r="C30" s="14">
        <v>3990624</v>
      </c>
      <c r="D30" s="14">
        <f>D29+N18</f>
        <v>1185125</v>
      </c>
      <c r="E30" s="34">
        <v>4480568</v>
      </c>
      <c r="F30" s="14">
        <f>H30-G30-E30-D30-C30</f>
        <v>3393323</v>
      </c>
      <c r="G30" s="34">
        <v>1950360</v>
      </c>
      <c r="H30" s="3">
        <v>15000000</v>
      </c>
      <c r="J30" s="13">
        <v>46046</v>
      </c>
      <c r="K30" s="3">
        <v>4309934</v>
      </c>
      <c r="L30" s="3">
        <v>4063880</v>
      </c>
      <c r="M30" s="3">
        <f t="shared" si="0"/>
        <v>246054</v>
      </c>
      <c r="N30" s="3">
        <v>0</v>
      </c>
      <c r="O30" s="115">
        <f t="shared" si="1"/>
        <v>3076954</v>
      </c>
      <c r="P30" s="3">
        <v>1232980</v>
      </c>
    </row>
    <row r="31" spans="1:21" ht="15.75" thickBot="1" x14ac:dyDescent="0.3">
      <c r="A31" s="83">
        <v>46035</v>
      </c>
      <c r="B31" s="112" t="s">
        <v>344</v>
      </c>
      <c r="C31" s="348">
        <v>3990624</v>
      </c>
      <c r="D31" s="3">
        <v>1185125</v>
      </c>
      <c r="E31" s="34">
        <v>4480568</v>
      </c>
      <c r="F31" s="3">
        <v>3393323</v>
      </c>
      <c r="G31" s="34">
        <v>1950360</v>
      </c>
      <c r="H31" s="3">
        <v>15000000</v>
      </c>
      <c r="J31" s="13">
        <v>46047</v>
      </c>
      <c r="K31" s="3">
        <v>393900</v>
      </c>
      <c r="L31" s="3">
        <v>393900</v>
      </c>
      <c r="M31" s="3">
        <f t="shared" si="0"/>
        <v>0</v>
      </c>
      <c r="N31" s="3">
        <v>0</v>
      </c>
      <c r="O31" s="115">
        <f t="shared" si="1"/>
        <v>278655</v>
      </c>
      <c r="P31" s="3">
        <v>115245</v>
      </c>
    </row>
    <row r="32" spans="1:21" ht="15.75" thickBot="1" x14ac:dyDescent="0.3">
      <c r="B32" s="111" t="s">
        <v>345</v>
      </c>
      <c r="C32" s="348">
        <v>4322769</v>
      </c>
      <c r="D32" s="34">
        <f>D31+N19</f>
        <v>1234615</v>
      </c>
      <c r="E32" s="34">
        <v>3699564</v>
      </c>
      <c r="F32" s="14">
        <f>H32-G32-E32-D32-C32</f>
        <v>3792692</v>
      </c>
      <c r="G32" s="34">
        <v>1950360</v>
      </c>
      <c r="H32" s="3">
        <v>15000000</v>
      </c>
      <c r="J32" s="13">
        <v>46048</v>
      </c>
      <c r="K32" s="3">
        <v>1670253</v>
      </c>
      <c r="L32" s="3">
        <v>1170101</v>
      </c>
      <c r="M32" s="3">
        <f t="shared" si="0"/>
        <v>500152</v>
      </c>
      <c r="N32" s="245">
        <v>43935</v>
      </c>
      <c r="O32" s="115">
        <f t="shared" si="1"/>
        <v>1221558</v>
      </c>
      <c r="P32" s="3">
        <v>448695</v>
      </c>
    </row>
    <row r="33" spans="1:16" x14ac:dyDescent="0.25">
      <c r="A33" s="83">
        <v>46036</v>
      </c>
      <c r="B33" s="136" t="s">
        <v>344</v>
      </c>
      <c r="C33" s="34">
        <v>4667079</v>
      </c>
      <c r="D33" s="34">
        <f>D32</f>
        <v>1234615</v>
      </c>
      <c r="E33" s="34">
        <v>3669020</v>
      </c>
      <c r="F33" s="34">
        <f>H33-G33-E33-D33-C33</f>
        <v>3478926</v>
      </c>
      <c r="G33" s="34">
        <v>1950360</v>
      </c>
      <c r="H33" s="3">
        <f>H32</f>
        <v>15000000</v>
      </c>
      <c r="J33" s="13">
        <v>46049</v>
      </c>
      <c r="K33" s="3">
        <v>1736583</v>
      </c>
      <c r="L33" s="3">
        <v>1254963</v>
      </c>
      <c r="M33" s="3">
        <f t="shared" si="0"/>
        <v>481620</v>
      </c>
      <c r="N33" s="245">
        <v>148465</v>
      </c>
      <c r="O33" s="115">
        <f t="shared" si="1"/>
        <v>1259790</v>
      </c>
      <c r="P33" s="3">
        <v>476793</v>
      </c>
    </row>
    <row r="34" spans="1:16" ht="15.75" thickBot="1" x14ac:dyDescent="0.3">
      <c r="B34" t="s">
        <v>345</v>
      </c>
      <c r="C34" s="34">
        <v>4025304</v>
      </c>
      <c r="D34" s="34">
        <f>D33+N20</f>
        <v>1319051</v>
      </c>
      <c r="E34" s="34">
        <v>3999312</v>
      </c>
      <c r="F34" s="14">
        <f>H34-G34-E34-D34-C34</f>
        <v>3705973</v>
      </c>
      <c r="G34" s="34">
        <v>1950360</v>
      </c>
      <c r="H34" s="3">
        <f>H33</f>
        <v>15000000</v>
      </c>
      <c r="J34" s="13">
        <v>46050</v>
      </c>
      <c r="K34" s="3">
        <v>8655391</v>
      </c>
      <c r="L34" s="3">
        <v>8458076</v>
      </c>
      <c r="M34" s="3">
        <f t="shared" si="0"/>
        <v>197315</v>
      </c>
      <c r="N34" s="245">
        <f>96753+44908</f>
        <v>141661</v>
      </c>
      <c r="O34" s="115">
        <f t="shared" si="1"/>
        <v>6380686</v>
      </c>
      <c r="P34" s="3">
        <v>2274705</v>
      </c>
    </row>
    <row r="35" spans="1:16" ht="15.75" thickBot="1" x14ac:dyDescent="0.3">
      <c r="A35" s="83">
        <v>46037</v>
      </c>
      <c r="B35" s="112" t="s">
        <v>344</v>
      </c>
      <c r="C35" s="218">
        <v>4025304</v>
      </c>
      <c r="D35" s="34">
        <f>D34</f>
        <v>1319051</v>
      </c>
      <c r="E35" s="34">
        <v>3999312</v>
      </c>
      <c r="F35" s="34">
        <v>3506451</v>
      </c>
      <c r="G35" s="34">
        <v>1950360</v>
      </c>
      <c r="H35" s="3">
        <v>15000000</v>
      </c>
      <c r="J35" s="13">
        <v>46051</v>
      </c>
      <c r="K35" s="3">
        <v>1204539</v>
      </c>
      <c r="L35" s="3">
        <v>468149</v>
      </c>
      <c r="M35" s="3">
        <f t="shared" si="0"/>
        <v>736390</v>
      </c>
      <c r="N35" s="245">
        <f>36360+112121</f>
        <v>148481</v>
      </c>
      <c r="O35" s="115">
        <f t="shared" si="1"/>
        <v>870065</v>
      </c>
      <c r="P35" s="3">
        <v>334474</v>
      </c>
    </row>
    <row r="36" spans="1:16" ht="15.75" thickBot="1" x14ac:dyDescent="0.3">
      <c r="B36" s="111" t="s">
        <v>345</v>
      </c>
      <c r="C36" s="219"/>
      <c r="D36" s="34">
        <f>D35+N21</f>
        <v>1518573</v>
      </c>
      <c r="E36" s="3"/>
      <c r="F36" s="3"/>
      <c r="G36" s="3"/>
      <c r="H36" s="3"/>
      <c r="J36" s="13">
        <v>46052</v>
      </c>
      <c r="K36" s="3">
        <v>1079843</v>
      </c>
      <c r="L36" s="3">
        <v>914506</v>
      </c>
      <c r="M36" s="3">
        <f t="shared" si="0"/>
        <v>165337</v>
      </c>
      <c r="N36" s="245">
        <f>20200+16160+30800+33330+20200</f>
        <v>120690</v>
      </c>
      <c r="O36" s="115">
        <f t="shared" si="1"/>
        <v>798392</v>
      </c>
      <c r="P36" s="3">
        <v>281451</v>
      </c>
    </row>
    <row r="37" spans="1:16" ht="15.75" thickBot="1" x14ac:dyDescent="0.3">
      <c r="A37" s="83">
        <v>46038</v>
      </c>
      <c r="B37" s="136" t="s">
        <v>344</v>
      </c>
      <c r="C37" s="34"/>
      <c r="D37" s="34">
        <f>D36</f>
        <v>1518573</v>
      </c>
      <c r="E37" s="34"/>
      <c r="F37" s="34"/>
      <c r="G37" s="34"/>
      <c r="H37" s="3"/>
      <c r="J37" s="13">
        <v>46053</v>
      </c>
      <c r="K37" s="3">
        <v>1202482</v>
      </c>
      <c r="L37" s="3">
        <v>1050981</v>
      </c>
      <c r="M37" s="3">
        <f t="shared" si="0"/>
        <v>151501</v>
      </c>
      <c r="N37" s="185">
        <v>0</v>
      </c>
      <c r="O37" s="115">
        <f t="shared" si="1"/>
        <v>911457</v>
      </c>
      <c r="P37" s="185">
        <v>291025</v>
      </c>
    </row>
    <row r="38" spans="1:16" ht="15.75" thickBot="1" x14ac:dyDescent="0.3">
      <c r="B38" t="s">
        <v>345</v>
      </c>
      <c r="C38" s="3">
        <v>4090958</v>
      </c>
      <c r="D38" s="3">
        <f>D37+N22</f>
        <v>1518573</v>
      </c>
      <c r="E38" s="3">
        <v>3607124</v>
      </c>
      <c r="F38" s="3">
        <f>H38-G38-E38-D38-C38</f>
        <v>3832985</v>
      </c>
      <c r="G38" s="3">
        <v>1950360</v>
      </c>
      <c r="H38" s="3">
        <v>15000000</v>
      </c>
      <c r="K38" s="5">
        <f>SUM(K8:K37)</f>
        <v>99476610</v>
      </c>
      <c r="L38" s="5">
        <f t="shared" ref="L38:P38" si="2">SUM(L8:L37)</f>
        <v>87524528</v>
      </c>
      <c r="M38" s="5">
        <f t="shared" si="2"/>
        <v>11952082</v>
      </c>
      <c r="N38" s="496">
        <f t="shared" si="2"/>
        <v>2458125</v>
      </c>
      <c r="O38" s="5">
        <f t="shared" si="2"/>
        <v>71835156</v>
      </c>
      <c r="P38" s="497">
        <f t="shared" si="2"/>
        <v>27641454</v>
      </c>
    </row>
    <row r="39" spans="1:16" ht="15.75" thickBot="1" x14ac:dyDescent="0.3">
      <c r="A39" s="83">
        <v>46039</v>
      </c>
      <c r="B39" s="112" t="s">
        <v>344</v>
      </c>
      <c r="C39" s="149">
        <v>4090958</v>
      </c>
      <c r="D39" s="3">
        <v>1518573</v>
      </c>
      <c r="E39" s="3">
        <v>3607124</v>
      </c>
      <c r="F39" s="3">
        <v>3832985</v>
      </c>
      <c r="G39" s="3">
        <v>1950360</v>
      </c>
      <c r="H39" s="3">
        <v>15000000</v>
      </c>
      <c r="N39" s="5"/>
    </row>
    <row r="40" spans="1:16" ht="15.75" thickBot="1" x14ac:dyDescent="0.3">
      <c r="B40" s="111" t="s">
        <v>345</v>
      </c>
      <c r="C40" s="235"/>
      <c r="D40" s="185"/>
      <c r="E40" s="185"/>
      <c r="F40" s="185"/>
      <c r="G40" s="185"/>
      <c r="H40" s="185"/>
    </row>
    <row r="41" spans="1:16" ht="15.75" thickBot="1" x14ac:dyDescent="0.3">
      <c r="A41" s="83">
        <v>46040</v>
      </c>
      <c r="B41" s="112" t="s">
        <v>344</v>
      </c>
      <c r="C41" s="149"/>
      <c r="D41" s="3"/>
      <c r="E41" s="3"/>
      <c r="F41" s="3"/>
      <c r="G41" s="3"/>
      <c r="H41" s="3"/>
      <c r="K41" s="18">
        <v>175000</v>
      </c>
    </row>
    <row r="42" spans="1:16" ht="15.75" thickBot="1" x14ac:dyDescent="0.3">
      <c r="B42" s="111" t="s">
        <v>345</v>
      </c>
      <c r="C42" s="235"/>
      <c r="D42" s="185"/>
      <c r="E42" s="185"/>
      <c r="F42" s="185"/>
      <c r="G42" s="185"/>
      <c r="H42" s="185"/>
      <c r="K42" s="18">
        <v>20</v>
      </c>
    </row>
    <row r="43" spans="1:16" ht="15.75" thickBot="1" x14ac:dyDescent="0.3">
      <c r="A43" s="83">
        <v>46041</v>
      </c>
      <c r="B43" s="112" t="s">
        <v>344</v>
      </c>
      <c r="C43" s="149"/>
      <c r="D43" s="3"/>
      <c r="E43" s="3"/>
      <c r="F43" s="3"/>
      <c r="G43" s="3"/>
      <c r="H43" s="3"/>
      <c r="K43" s="18">
        <f>K41*K42</f>
        <v>3500000</v>
      </c>
    </row>
    <row r="44" spans="1:16" ht="15.75" thickBot="1" x14ac:dyDescent="0.3">
      <c r="B44" s="111" t="s">
        <v>345</v>
      </c>
      <c r="C44" s="235"/>
      <c r="D44" s="185"/>
      <c r="E44" s="185"/>
      <c r="F44" s="185"/>
      <c r="G44" s="185"/>
      <c r="H44" s="185"/>
      <c r="K44" s="5">
        <f>K43/2</f>
        <v>1750000</v>
      </c>
    </row>
    <row r="45" spans="1:16" ht="15.75" thickBot="1" x14ac:dyDescent="0.3">
      <c r="A45" s="83">
        <v>46042</v>
      </c>
      <c r="B45" s="112" t="s">
        <v>344</v>
      </c>
      <c r="C45" s="149"/>
      <c r="D45" s="3"/>
      <c r="E45" s="3"/>
      <c r="F45" s="3"/>
      <c r="G45" s="3"/>
      <c r="H45" s="3"/>
    </row>
    <row r="46" spans="1:16" ht="15.75" thickBot="1" x14ac:dyDescent="0.3">
      <c r="B46" s="111" t="s">
        <v>345</v>
      </c>
      <c r="C46" s="235"/>
      <c r="D46" s="185"/>
      <c r="E46" s="185"/>
      <c r="F46" s="185"/>
      <c r="G46" s="185"/>
      <c r="H46" s="185"/>
    </row>
    <row r="47" spans="1:16" ht="15.75" thickBot="1" x14ac:dyDescent="0.3">
      <c r="A47" s="83">
        <v>46043</v>
      </c>
      <c r="B47" s="112" t="s">
        <v>344</v>
      </c>
      <c r="C47" s="149">
        <v>2416247</v>
      </c>
      <c r="D47" s="3">
        <f>1518573+N25+N26</f>
        <v>1706423</v>
      </c>
      <c r="E47" s="3">
        <v>7754171</v>
      </c>
      <c r="F47" s="3">
        <f>H47-G47-E47-D47-C47</f>
        <v>1172799</v>
      </c>
      <c r="G47" s="3">
        <v>1950360</v>
      </c>
      <c r="H47" s="3">
        <v>15000000</v>
      </c>
    </row>
    <row r="48" spans="1:16" ht="15.75" thickBot="1" x14ac:dyDescent="0.3">
      <c r="B48" s="111" t="s">
        <v>345</v>
      </c>
      <c r="C48" s="235"/>
      <c r="D48" s="185"/>
      <c r="E48" s="185"/>
      <c r="F48" s="185"/>
      <c r="G48" s="185"/>
      <c r="H48" s="185"/>
    </row>
    <row r="49" spans="1:8" ht="15.75" thickBot="1" x14ac:dyDescent="0.3">
      <c r="A49" s="83">
        <v>46044</v>
      </c>
      <c r="B49" s="112" t="s">
        <v>344</v>
      </c>
      <c r="C49" s="149"/>
      <c r="D49" s="3"/>
      <c r="E49" s="3"/>
      <c r="F49" s="3"/>
      <c r="G49" s="3"/>
      <c r="H49" s="3"/>
    </row>
    <row r="50" spans="1:8" ht="15.75" thickBot="1" x14ac:dyDescent="0.3">
      <c r="B50" s="111" t="s">
        <v>345</v>
      </c>
      <c r="C50" s="235"/>
      <c r="D50" s="185"/>
      <c r="E50" s="185"/>
      <c r="F50" s="185"/>
      <c r="G50" s="185"/>
      <c r="H50" s="185"/>
    </row>
    <row r="51" spans="1:8" ht="15.75" thickBot="1" x14ac:dyDescent="0.3">
      <c r="A51" s="83">
        <v>46045</v>
      </c>
      <c r="B51" s="112" t="s">
        <v>344</v>
      </c>
      <c r="C51" s="149"/>
      <c r="D51" s="3"/>
      <c r="E51" s="3"/>
      <c r="F51" s="3"/>
      <c r="G51" s="3"/>
      <c r="H51" s="3"/>
    </row>
    <row r="52" spans="1:8" ht="15.75" thickBot="1" x14ac:dyDescent="0.3">
      <c r="B52" s="111" t="s">
        <v>345</v>
      </c>
      <c r="C52" s="235"/>
      <c r="D52" s="185"/>
      <c r="E52" s="185"/>
      <c r="F52" s="185"/>
      <c r="G52" s="185"/>
      <c r="H52" s="185"/>
    </row>
    <row r="53" spans="1:8" ht="15.75" thickBot="1" x14ac:dyDescent="0.3">
      <c r="A53" s="83">
        <v>46046</v>
      </c>
      <c r="B53" s="112" t="s">
        <v>344</v>
      </c>
      <c r="C53" s="149"/>
      <c r="D53" s="3"/>
      <c r="E53" s="3"/>
      <c r="F53" s="3"/>
      <c r="G53" s="3"/>
      <c r="H53" s="3"/>
    </row>
    <row r="54" spans="1:8" ht="15.75" thickBot="1" x14ac:dyDescent="0.3">
      <c r="B54" s="111" t="s">
        <v>345</v>
      </c>
      <c r="C54" s="235"/>
      <c r="D54" s="185"/>
      <c r="E54" s="185"/>
      <c r="F54" s="185"/>
      <c r="G54" s="185"/>
      <c r="H54" s="185"/>
    </row>
    <row r="55" spans="1:8" ht="15.75" thickBot="1" x14ac:dyDescent="0.3">
      <c r="A55" s="83">
        <v>46047</v>
      </c>
      <c r="B55" s="112" t="s">
        <v>344</v>
      </c>
      <c r="C55" s="149"/>
      <c r="D55" s="3"/>
      <c r="E55" s="3"/>
      <c r="F55" s="3"/>
      <c r="G55" s="3"/>
      <c r="H55" s="3"/>
    </row>
    <row r="56" spans="1:8" ht="15.75" thickBot="1" x14ac:dyDescent="0.3">
      <c r="B56" s="111" t="s">
        <v>345</v>
      </c>
      <c r="C56" s="235"/>
      <c r="D56" s="185"/>
      <c r="E56" s="185"/>
      <c r="F56" s="185"/>
      <c r="G56" s="185"/>
      <c r="H56" s="185"/>
    </row>
    <row r="57" spans="1:8" ht="15.75" thickBot="1" x14ac:dyDescent="0.3">
      <c r="A57" s="83">
        <v>46048</v>
      </c>
      <c r="B57" s="112" t="s">
        <v>344</v>
      </c>
      <c r="C57" s="149"/>
      <c r="D57" s="3"/>
      <c r="E57" s="3"/>
      <c r="F57" s="3"/>
      <c r="G57" s="3"/>
      <c r="H57" s="3"/>
    </row>
    <row r="58" spans="1:8" ht="15.75" thickBot="1" x14ac:dyDescent="0.3">
      <c r="B58" s="111" t="s">
        <v>345</v>
      </c>
      <c r="C58" s="235"/>
      <c r="D58" s="185"/>
      <c r="E58" s="185"/>
      <c r="F58" s="185"/>
      <c r="G58" s="185"/>
      <c r="H58" s="185"/>
    </row>
    <row r="59" spans="1:8" ht="15.75" thickBot="1" x14ac:dyDescent="0.3">
      <c r="A59" s="83">
        <v>46049</v>
      </c>
      <c r="B59" s="112" t="s">
        <v>344</v>
      </c>
      <c r="C59" s="149"/>
      <c r="D59" s="3"/>
      <c r="E59" s="3"/>
      <c r="F59" s="3"/>
      <c r="G59" s="3"/>
      <c r="H59" s="3"/>
    </row>
    <row r="60" spans="1:8" ht="15.75" thickBot="1" x14ac:dyDescent="0.3">
      <c r="B60" s="111" t="s">
        <v>345</v>
      </c>
      <c r="C60" s="235"/>
      <c r="D60" s="185"/>
      <c r="E60" s="185"/>
      <c r="F60" s="185"/>
      <c r="G60" s="185"/>
      <c r="H60" s="185"/>
    </row>
    <row r="61" spans="1:8" ht="15.75" thickBot="1" x14ac:dyDescent="0.3">
      <c r="A61" s="83">
        <v>46050</v>
      </c>
      <c r="B61" s="112" t="s">
        <v>344</v>
      </c>
      <c r="C61" s="149"/>
      <c r="D61" s="3"/>
      <c r="E61" s="3"/>
      <c r="F61" s="3"/>
      <c r="G61" s="3"/>
      <c r="H61" s="3"/>
    </row>
    <row r="62" spans="1:8" ht="15.75" thickBot="1" x14ac:dyDescent="0.3">
      <c r="B62" s="111" t="s">
        <v>345</v>
      </c>
      <c r="C62" s="235"/>
      <c r="D62" s="185"/>
      <c r="E62" s="185"/>
      <c r="F62" s="185"/>
      <c r="G62" s="185"/>
      <c r="H62" s="185"/>
    </row>
    <row r="63" spans="1:8" ht="15.75" thickBot="1" x14ac:dyDescent="0.3">
      <c r="A63" s="83">
        <v>46051</v>
      </c>
      <c r="B63" s="112" t="s">
        <v>344</v>
      </c>
      <c r="C63" s="149"/>
      <c r="D63" s="3"/>
      <c r="E63" s="3"/>
      <c r="F63" s="3"/>
      <c r="G63" s="3"/>
      <c r="H63" s="3"/>
    </row>
    <row r="64" spans="1:8" ht="15.75" thickBot="1" x14ac:dyDescent="0.3">
      <c r="B64" s="111" t="s">
        <v>345</v>
      </c>
      <c r="C64" s="235">
        <v>2732177</v>
      </c>
      <c r="D64" s="185">
        <v>2225314</v>
      </c>
      <c r="E64" s="185">
        <v>6449720</v>
      </c>
      <c r="F64" s="185">
        <f>H64-G64-E64-D64-C64</f>
        <v>526071</v>
      </c>
      <c r="G64" s="185">
        <f>D87</f>
        <v>8066718</v>
      </c>
      <c r="H64" s="185">
        <v>20000000</v>
      </c>
    </row>
    <row r="65" spans="1:8" ht="15.75" thickBot="1" x14ac:dyDescent="0.3">
      <c r="A65" s="83">
        <v>46052</v>
      </c>
      <c r="B65" s="112" t="s">
        <v>344</v>
      </c>
      <c r="C65" s="149">
        <v>2732177</v>
      </c>
      <c r="D65" s="3">
        <v>2225314</v>
      </c>
      <c r="E65" s="3">
        <v>6449720</v>
      </c>
      <c r="F65" s="3">
        <v>526071</v>
      </c>
      <c r="G65" s="3">
        <v>8066718</v>
      </c>
      <c r="H65" s="3">
        <v>20000000</v>
      </c>
    </row>
    <row r="66" spans="1:8" ht="15.75" thickBot="1" x14ac:dyDescent="0.3">
      <c r="B66" s="111" t="s">
        <v>345</v>
      </c>
      <c r="C66" s="235">
        <v>2732177</v>
      </c>
      <c r="D66" s="185">
        <f>D65+N36</f>
        <v>2346004</v>
      </c>
      <c r="E66" s="185">
        <v>5698891</v>
      </c>
      <c r="F66" s="185">
        <f>H66-G66-E66-D66-C66</f>
        <v>1156210</v>
      </c>
      <c r="G66" s="185">
        <f>G65</f>
        <v>8066718</v>
      </c>
      <c r="H66" s="185">
        <f>H65</f>
        <v>20000000</v>
      </c>
    </row>
    <row r="67" spans="1:8" ht="15.75" thickBot="1" x14ac:dyDescent="0.3">
      <c r="A67" s="83">
        <v>46053</v>
      </c>
      <c r="B67" s="164" t="s">
        <v>344</v>
      </c>
      <c r="C67" s="3"/>
      <c r="D67" s="3"/>
      <c r="E67" s="3"/>
      <c r="F67" s="3"/>
      <c r="G67" s="3"/>
      <c r="H67" s="3"/>
    </row>
    <row r="68" spans="1:8" ht="15.75" thickBot="1" x14ac:dyDescent="0.3">
      <c r="B68" s="176" t="s">
        <v>345</v>
      </c>
      <c r="C68" s="3"/>
      <c r="D68" s="221">
        <v>2458125</v>
      </c>
      <c r="E68" s="3"/>
      <c r="F68" s="3"/>
      <c r="G68" s="3"/>
      <c r="H68" s="3"/>
    </row>
    <row r="69" spans="1:8" x14ac:dyDescent="0.25">
      <c r="C69" s="471"/>
      <c r="D69" s="471"/>
      <c r="E69" s="471"/>
      <c r="F69" s="471"/>
      <c r="G69" s="471"/>
      <c r="H69" s="471"/>
    </row>
    <row r="70" spans="1:8" x14ac:dyDescent="0.25">
      <c r="C70" s="471"/>
      <c r="D70" s="471"/>
      <c r="E70" s="471"/>
      <c r="F70" s="471"/>
      <c r="G70" s="471"/>
      <c r="H70" s="471">
        <f>C64+D64+E64+G64</f>
        <v>19473929</v>
      </c>
    </row>
    <row r="71" spans="1:8" x14ac:dyDescent="0.25">
      <c r="H71" s="18"/>
    </row>
    <row r="72" spans="1:8" x14ac:dyDescent="0.25">
      <c r="H72" s="18"/>
    </row>
    <row r="73" spans="1:8" x14ac:dyDescent="0.25">
      <c r="A73" t="s">
        <v>548</v>
      </c>
      <c r="D73" s="18">
        <v>20000000</v>
      </c>
      <c r="H73" s="18"/>
    </row>
    <row r="74" spans="1:8" x14ac:dyDescent="0.25">
      <c r="A74" t="s">
        <v>563</v>
      </c>
      <c r="D74" s="18">
        <v>9379657</v>
      </c>
      <c r="H74" s="18"/>
    </row>
    <row r="75" spans="1:8" x14ac:dyDescent="0.25">
      <c r="A75" t="s">
        <v>564</v>
      </c>
      <c r="D75" s="18">
        <v>2500000</v>
      </c>
      <c r="H75" s="18"/>
    </row>
    <row r="76" spans="1:8" x14ac:dyDescent="0.25">
      <c r="D76" s="295">
        <f>D74-D75</f>
        <v>6879657</v>
      </c>
      <c r="H76" s="18"/>
    </row>
    <row r="77" spans="1:8" x14ac:dyDescent="0.25">
      <c r="A77" t="s">
        <v>565</v>
      </c>
      <c r="D77" s="5">
        <v>2500000</v>
      </c>
      <c r="H77" s="18"/>
    </row>
    <row r="78" spans="1:8" x14ac:dyDescent="0.25">
      <c r="A78" t="s">
        <v>566</v>
      </c>
      <c r="D78" s="5">
        <f>D76-D77</f>
        <v>4379657</v>
      </c>
      <c r="H78" s="18"/>
    </row>
    <row r="79" spans="1:8" x14ac:dyDescent="0.25">
      <c r="A79" t="s">
        <v>567</v>
      </c>
      <c r="D79" s="5">
        <v>15000000</v>
      </c>
      <c r="H79" s="18"/>
    </row>
    <row r="80" spans="1:8" ht="15.75" thickBot="1" x14ac:dyDescent="0.3">
      <c r="A80" t="s">
        <v>759</v>
      </c>
      <c r="D80" s="5">
        <v>5000000</v>
      </c>
      <c r="E80" s="83">
        <v>46050</v>
      </c>
      <c r="H80" s="18"/>
    </row>
    <row r="81" spans="1:8" x14ac:dyDescent="0.25">
      <c r="C81" s="491"/>
      <c r="D81" s="140"/>
      <c r="H81" s="18"/>
    </row>
    <row r="82" spans="1:8" x14ac:dyDescent="0.25">
      <c r="A82" t="s">
        <v>351</v>
      </c>
      <c r="C82" s="4" t="s">
        <v>452</v>
      </c>
      <c r="D82" s="3">
        <v>1460000</v>
      </c>
      <c r="H82" s="18"/>
    </row>
    <row r="83" spans="1:8" x14ac:dyDescent="0.25">
      <c r="C83" s="4" t="s">
        <v>470</v>
      </c>
      <c r="D83" s="3">
        <v>36360</v>
      </c>
      <c r="E83" t="s">
        <v>758</v>
      </c>
      <c r="H83" s="18"/>
    </row>
    <row r="84" spans="1:8" x14ac:dyDescent="0.25">
      <c r="H84" s="18"/>
    </row>
    <row r="85" spans="1:8" x14ac:dyDescent="0.25">
      <c r="C85" s="4" t="s">
        <v>754</v>
      </c>
      <c r="D85" s="14">
        <v>5264758</v>
      </c>
      <c r="E85" s="5" t="s">
        <v>756</v>
      </c>
      <c r="H85" s="18"/>
    </row>
    <row r="86" spans="1:8" x14ac:dyDescent="0.25">
      <c r="C86" s="4" t="s">
        <v>755</v>
      </c>
      <c r="D86" s="3">
        <v>1305600</v>
      </c>
      <c r="E86" s="5" t="s">
        <v>756</v>
      </c>
      <c r="H86" s="18"/>
    </row>
    <row r="87" spans="1:8" x14ac:dyDescent="0.25">
      <c r="D87" s="492">
        <f>SUM(D82:D86)</f>
        <v>8066718</v>
      </c>
      <c r="F87" s="5">
        <f>D87-D85-D86</f>
        <v>1496360</v>
      </c>
      <c r="H87" s="18"/>
    </row>
    <row r="88" spans="1:8" x14ac:dyDescent="0.25">
      <c r="D88" s="5"/>
    </row>
    <row r="89" spans="1:8" x14ac:dyDescent="0.25">
      <c r="C89" s="314" t="s">
        <v>607</v>
      </c>
      <c r="D89" s="312">
        <v>1729800</v>
      </c>
      <c r="E89" s="5" t="s">
        <v>757</v>
      </c>
    </row>
    <row r="90" spans="1:8" x14ac:dyDescent="0.25">
      <c r="C90" s="461" t="s">
        <v>513</v>
      </c>
      <c r="D90" s="465">
        <v>454000</v>
      </c>
      <c r="E90" s="472" t="s">
        <v>749</v>
      </c>
      <c r="F90" s="473"/>
    </row>
    <row r="91" spans="1:8" x14ac:dyDescent="0.25">
      <c r="D91" s="5"/>
    </row>
    <row r="92" spans="1:8" x14ac:dyDescent="0.25">
      <c r="D92" s="18"/>
    </row>
    <row r="93" spans="1:8" x14ac:dyDescent="0.25">
      <c r="D93" s="5"/>
    </row>
    <row r="98" spans="3:6" x14ac:dyDescent="0.25">
      <c r="C98" s="142"/>
    </row>
    <row r="99" spans="3:6" x14ac:dyDescent="0.25">
      <c r="C99" s="142"/>
    </row>
    <row r="100" spans="3:6" x14ac:dyDescent="0.25">
      <c r="C100" s="144"/>
    </row>
    <row r="101" spans="3:6" ht="15.75" thickBot="1" x14ac:dyDescent="0.3">
      <c r="C101" s="144"/>
    </row>
    <row r="102" spans="3:6" ht="15.75" thickBot="1" x14ac:dyDescent="0.3">
      <c r="C102" s="143"/>
      <c r="D102" s="383"/>
      <c r="E102" s="384"/>
      <c r="F102" s="384"/>
    </row>
    <row r="103" spans="3:6" x14ac:dyDescent="0.25">
      <c r="C103" s="144"/>
    </row>
    <row r="104" spans="3:6" x14ac:dyDescent="0.25">
      <c r="C104" s="144"/>
    </row>
  </sheetData>
  <mergeCells count="2">
    <mergeCell ref="A3:H3"/>
    <mergeCell ref="A6:G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CD84A-1938-4E76-88B8-CE6E231E3C21}">
  <dimension ref="A3:R109"/>
  <sheetViews>
    <sheetView topLeftCell="A5" workbookViewId="0">
      <selection activeCell="H103" sqref="H103"/>
    </sheetView>
  </sheetViews>
  <sheetFormatPr defaultRowHeight="15" x14ac:dyDescent="0.25"/>
  <cols>
    <col min="1" max="1" width="11.7109375" customWidth="1"/>
    <col min="3" max="3" width="11.85546875" customWidth="1"/>
    <col min="4" max="4" width="13.42578125" customWidth="1"/>
    <col min="5" max="5" width="12.140625" customWidth="1"/>
    <col min="6" max="6" width="13.85546875" bestFit="1" customWidth="1"/>
    <col min="7" max="7" width="11.140625" bestFit="1" customWidth="1"/>
    <col min="8" max="8" width="13.7109375" customWidth="1"/>
    <col min="9" max="9" width="15.5703125" customWidth="1"/>
    <col min="10" max="10" width="12.42578125" customWidth="1"/>
    <col min="12" max="12" width="10.7109375" bestFit="1" customWidth="1"/>
    <col min="13" max="13" width="16" customWidth="1"/>
    <col min="14" max="14" width="11.5703125" bestFit="1" customWidth="1"/>
    <col min="15" max="15" width="10.5703125" bestFit="1" customWidth="1"/>
    <col min="16" max="16" width="12" customWidth="1"/>
    <col min="17" max="17" width="10.5703125" bestFit="1" customWidth="1"/>
    <col min="18" max="18" width="14.28515625" customWidth="1"/>
  </cols>
  <sheetData>
    <row r="3" spans="1:18" ht="15.75" thickBot="1" x14ac:dyDescent="0.3">
      <c r="F3" s="5"/>
      <c r="J3" s="18"/>
      <c r="M3" s="537"/>
    </row>
    <row r="4" spans="1:18" ht="15.75" thickBot="1" x14ac:dyDescent="0.3">
      <c r="A4" s="1222" t="s">
        <v>760</v>
      </c>
      <c r="B4" s="1223"/>
      <c r="C4" s="1223"/>
      <c r="D4" s="1223"/>
      <c r="E4" s="1223"/>
      <c r="F4" s="1223"/>
      <c r="G4" s="1223"/>
      <c r="H4" s="1223"/>
      <c r="I4" s="1223"/>
      <c r="J4" s="1224"/>
    </row>
    <row r="5" spans="1:18" x14ac:dyDescent="0.25">
      <c r="J5" s="18"/>
    </row>
    <row r="6" spans="1:18" ht="15.75" thickBot="1" x14ac:dyDescent="0.3"/>
    <row r="7" spans="1:18" ht="15.75" thickBot="1" x14ac:dyDescent="0.3">
      <c r="L7" s="92" t="s">
        <v>350</v>
      </c>
      <c r="M7" s="93" t="s">
        <v>347</v>
      </c>
      <c r="N7" s="92" t="s">
        <v>348</v>
      </c>
      <c r="O7" s="94" t="s">
        <v>26</v>
      </c>
      <c r="P7" s="92" t="s">
        <v>338</v>
      </c>
      <c r="Q7" s="92" t="s">
        <v>18</v>
      </c>
      <c r="R7" s="95" t="s">
        <v>349</v>
      </c>
    </row>
    <row r="8" spans="1:18" ht="15.75" thickBot="1" x14ac:dyDescent="0.3">
      <c r="A8" s="83">
        <v>46053</v>
      </c>
      <c r="B8" s="112" t="s">
        <v>344</v>
      </c>
      <c r="C8" s="83"/>
      <c r="D8" s="149">
        <v>3409355</v>
      </c>
      <c r="E8" s="221">
        <v>2458125</v>
      </c>
      <c r="F8" s="3">
        <v>2957686</v>
      </c>
      <c r="G8" s="3">
        <v>2695209</v>
      </c>
      <c r="H8" s="3">
        <v>9626286</v>
      </c>
      <c r="I8" s="3"/>
      <c r="J8" s="3">
        <f>SUM(D8:H8)</f>
        <v>21146661</v>
      </c>
      <c r="L8" s="13">
        <v>46053</v>
      </c>
      <c r="M8" s="3">
        <v>4004550</v>
      </c>
      <c r="N8" s="3">
        <v>2285532</v>
      </c>
      <c r="O8" s="3">
        <f>M8-N8</f>
        <v>1719018</v>
      </c>
      <c r="P8" s="245">
        <v>2458125</v>
      </c>
      <c r="Q8" s="115">
        <f>+M8-R8</f>
        <v>2837490</v>
      </c>
      <c r="R8" s="3">
        <v>1167060</v>
      </c>
    </row>
    <row r="9" spans="1:18" ht="15.75" thickBot="1" x14ac:dyDescent="0.3">
      <c r="B9" s="133" t="s">
        <v>345</v>
      </c>
      <c r="C9" s="133"/>
      <c r="D9" s="4"/>
      <c r="E9" s="4"/>
      <c r="F9" s="4"/>
      <c r="G9" s="4"/>
      <c r="H9" s="4"/>
      <c r="I9" s="4"/>
      <c r="J9" s="4"/>
      <c r="L9" s="13">
        <v>46055</v>
      </c>
      <c r="M9" s="3">
        <v>3434818</v>
      </c>
      <c r="N9" s="3">
        <v>3352402</v>
      </c>
      <c r="O9" s="3">
        <f t="shared" ref="O9:O32" si="0">M9-N9</f>
        <v>82416</v>
      </c>
      <c r="P9" s="3">
        <f>20200</f>
        <v>20200</v>
      </c>
      <c r="Q9" s="115">
        <f t="shared" ref="Q9:Q32" si="1">+M9-R9</f>
        <v>2453423</v>
      </c>
      <c r="R9" s="3">
        <v>981395</v>
      </c>
    </row>
    <row r="10" spans="1:18" ht="15.75" thickBot="1" x14ac:dyDescent="0.3">
      <c r="A10" s="83">
        <v>46054</v>
      </c>
      <c r="B10" s="112" t="s">
        <v>344</v>
      </c>
      <c r="C10" s="83"/>
      <c r="D10" s="149"/>
      <c r="E10" s="498"/>
      <c r="F10" s="3"/>
      <c r="G10" s="3"/>
      <c r="H10" s="3"/>
      <c r="I10" s="3"/>
      <c r="J10" s="3"/>
      <c r="L10" s="13">
        <v>46056</v>
      </c>
      <c r="M10" s="3">
        <v>2928677</v>
      </c>
      <c r="N10" s="3">
        <v>2591337</v>
      </c>
      <c r="O10" s="3">
        <f t="shared" si="0"/>
        <v>337340</v>
      </c>
      <c r="P10" s="3">
        <f>16160+20200+33330+61600</f>
        <v>131290</v>
      </c>
      <c r="Q10" s="115">
        <f t="shared" si="1"/>
        <v>2119910</v>
      </c>
      <c r="R10" s="3">
        <v>808767</v>
      </c>
    </row>
    <row r="11" spans="1:18" ht="15.75" thickBot="1" x14ac:dyDescent="0.3">
      <c r="B11" s="133" t="s">
        <v>345</v>
      </c>
      <c r="C11" s="133"/>
      <c r="D11" s="4"/>
      <c r="E11" s="499"/>
      <c r="F11" s="4"/>
      <c r="G11" s="4"/>
      <c r="H11" s="4"/>
      <c r="I11" s="4"/>
      <c r="J11" s="4"/>
      <c r="L11" s="13">
        <v>46057</v>
      </c>
      <c r="M11" s="3">
        <v>1262497</v>
      </c>
      <c r="N11" s="3">
        <v>1177657</v>
      </c>
      <c r="O11" s="3">
        <f t="shared" si="0"/>
        <v>84840</v>
      </c>
      <c r="P11" s="3">
        <f>16160+20200+20200</f>
        <v>56560</v>
      </c>
      <c r="Q11" s="115">
        <f>+M11-R11</f>
        <v>909248</v>
      </c>
      <c r="R11" s="3">
        <v>353249</v>
      </c>
    </row>
    <row r="12" spans="1:18" ht="15.75" thickBot="1" x14ac:dyDescent="0.3">
      <c r="A12" s="83">
        <v>46055</v>
      </c>
      <c r="B12" s="112" t="s">
        <v>344</v>
      </c>
      <c r="C12" s="83"/>
      <c r="D12" s="149"/>
      <c r="E12" s="498"/>
      <c r="F12" s="3">
        <v>5901734</v>
      </c>
      <c r="G12" s="3"/>
      <c r="H12" s="3"/>
      <c r="I12" s="3"/>
      <c r="J12" s="3"/>
      <c r="L12" s="13">
        <v>46058</v>
      </c>
      <c r="M12" s="3">
        <v>785807</v>
      </c>
      <c r="N12" s="3">
        <v>280067</v>
      </c>
      <c r="O12" s="3">
        <f t="shared" si="0"/>
        <v>505740</v>
      </c>
      <c r="P12" s="3">
        <f>20200+30800+27775</f>
        <v>78775</v>
      </c>
      <c r="Q12" s="115">
        <f t="shared" si="1"/>
        <v>585116</v>
      </c>
      <c r="R12" s="3">
        <v>200691</v>
      </c>
    </row>
    <row r="13" spans="1:18" ht="15.75" thickBot="1" x14ac:dyDescent="0.3">
      <c r="B13" s="133" t="s">
        <v>345</v>
      </c>
      <c r="C13" s="133"/>
      <c r="D13" s="4"/>
      <c r="E13" s="499"/>
      <c r="F13" s="4"/>
      <c r="G13" s="4"/>
      <c r="H13" s="4"/>
      <c r="I13" s="4"/>
      <c r="J13" s="4"/>
      <c r="L13" s="13">
        <v>46059</v>
      </c>
      <c r="M13" s="3">
        <v>2088604</v>
      </c>
      <c r="N13" s="3">
        <v>1760605</v>
      </c>
      <c r="O13" s="3">
        <f t="shared" si="0"/>
        <v>327999</v>
      </c>
      <c r="P13" s="3">
        <f>33330+16160+20200+266640+213312+67872+20200+99990+20200+28281+154000+75750+75747</f>
        <v>1091682</v>
      </c>
      <c r="Q13" s="115">
        <f t="shared" si="1"/>
        <v>1657309</v>
      </c>
      <c r="R13" s="3">
        <v>431295</v>
      </c>
    </row>
    <row r="14" spans="1:18" ht="15.75" thickBot="1" x14ac:dyDescent="0.3">
      <c r="A14" s="83">
        <v>46056</v>
      </c>
      <c r="B14" s="112" t="s">
        <v>344</v>
      </c>
      <c r="C14" s="83"/>
      <c r="D14" s="149"/>
      <c r="E14" s="498"/>
      <c r="F14" s="3"/>
      <c r="G14" s="3"/>
      <c r="H14" s="3"/>
      <c r="I14" s="3"/>
      <c r="J14" s="3"/>
      <c r="L14" s="13">
        <v>46060</v>
      </c>
      <c r="M14" s="4"/>
      <c r="N14" s="4"/>
      <c r="O14" s="3">
        <f t="shared" si="0"/>
        <v>0</v>
      </c>
      <c r="P14" s="4"/>
      <c r="Q14" s="115">
        <f t="shared" si="1"/>
        <v>0</v>
      </c>
      <c r="R14" s="4"/>
    </row>
    <row r="15" spans="1:18" ht="15.75" thickBot="1" x14ac:dyDescent="0.3">
      <c r="B15" s="133" t="s">
        <v>345</v>
      </c>
      <c r="C15" s="133"/>
      <c r="D15" s="4"/>
      <c r="E15" s="499"/>
      <c r="F15" s="3">
        <v>3993696</v>
      </c>
      <c r="G15" s="4"/>
      <c r="H15" s="4"/>
      <c r="I15" s="4"/>
      <c r="J15" s="4"/>
      <c r="L15" s="13">
        <v>46061</v>
      </c>
      <c r="M15" s="4"/>
      <c r="N15" s="4"/>
      <c r="O15" s="3">
        <f t="shared" si="0"/>
        <v>0</v>
      </c>
      <c r="P15" s="4"/>
      <c r="Q15" s="115">
        <f t="shared" si="1"/>
        <v>0</v>
      </c>
      <c r="R15" s="4"/>
    </row>
    <row r="16" spans="1:18" x14ac:dyDescent="0.25">
      <c r="A16" s="83">
        <v>46057</v>
      </c>
      <c r="B16" s="246" t="s">
        <v>344</v>
      </c>
      <c r="C16" s="1099"/>
      <c r="D16" s="149"/>
      <c r="E16" s="498"/>
      <c r="F16" s="3">
        <f>F15</f>
        <v>3993696</v>
      </c>
      <c r="G16" s="3"/>
      <c r="H16" s="3"/>
      <c r="I16" s="3"/>
      <c r="J16" s="3"/>
      <c r="L16" s="13">
        <v>46062</v>
      </c>
      <c r="M16" s="4"/>
      <c r="N16" s="4"/>
      <c r="O16" s="3">
        <f t="shared" si="0"/>
        <v>0</v>
      </c>
      <c r="P16" s="3">
        <v>16160</v>
      </c>
      <c r="Q16" s="115">
        <f t="shared" si="1"/>
        <v>0</v>
      </c>
      <c r="R16" s="4"/>
    </row>
    <row r="17" spans="1:18" ht="15.75" thickBot="1" x14ac:dyDescent="0.3">
      <c r="B17" s="4" t="s">
        <v>345</v>
      </c>
      <c r="C17" s="4"/>
      <c r="D17" s="3">
        <v>950411</v>
      </c>
      <c r="E17" s="498">
        <f>P8+P9+P10+P11</f>
        <v>2666175</v>
      </c>
      <c r="F17" s="3">
        <v>6348463</v>
      </c>
      <c r="G17" s="3">
        <f>J17-H17-F17-E17-D17</f>
        <v>1968233</v>
      </c>
      <c r="H17" s="3">
        <v>8066718</v>
      </c>
      <c r="I17" s="3"/>
      <c r="J17" s="3">
        <v>20000000</v>
      </c>
      <c r="L17" s="13">
        <v>46063</v>
      </c>
      <c r="M17" s="4"/>
      <c r="N17" s="4"/>
      <c r="O17" s="3">
        <f t="shared" si="0"/>
        <v>0</v>
      </c>
      <c r="P17" s="3">
        <v>167150</v>
      </c>
      <c r="Q17" s="115">
        <f t="shared" si="1"/>
        <v>0</v>
      </c>
      <c r="R17" s="4"/>
    </row>
    <row r="18" spans="1:18" x14ac:dyDescent="0.25">
      <c r="A18" s="83">
        <v>46058</v>
      </c>
      <c r="B18" s="246" t="s">
        <v>344</v>
      </c>
      <c r="C18" s="1099"/>
      <c r="D18" s="149">
        <v>950411</v>
      </c>
      <c r="E18" s="498">
        <v>2666175</v>
      </c>
      <c r="F18" s="3">
        <v>6348463</v>
      </c>
      <c r="G18" s="3">
        <v>1968233</v>
      </c>
      <c r="H18" s="3">
        <v>8066718</v>
      </c>
      <c r="I18" s="3"/>
      <c r="J18" s="3">
        <v>20000000</v>
      </c>
      <c r="L18" s="13">
        <v>46064</v>
      </c>
      <c r="M18" s="4"/>
      <c r="N18" s="4"/>
      <c r="O18" s="3">
        <f t="shared" si="0"/>
        <v>0</v>
      </c>
      <c r="P18" s="3">
        <v>40400</v>
      </c>
      <c r="Q18" s="115">
        <f t="shared" si="1"/>
        <v>0</v>
      </c>
      <c r="R18" s="4"/>
    </row>
    <row r="19" spans="1:18" ht="15.75" thickBot="1" x14ac:dyDescent="0.3">
      <c r="B19" s="4" t="s">
        <v>345</v>
      </c>
      <c r="C19" s="4"/>
      <c r="D19" s="4"/>
      <c r="E19" s="529">
        <f>E18+P12</f>
        <v>2744950</v>
      </c>
      <c r="F19" s="4"/>
      <c r="G19" s="4"/>
      <c r="H19" s="4"/>
      <c r="I19" s="4"/>
      <c r="J19" s="4"/>
      <c r="L19" s="13">
        <v>46065</v>
      </c>
      <c r="M19" s="4"/>
      <c r="N19" s="4"/>
      <c r="O19" s="3">
        <f t="shared" si="0"/>
        <v>0</v>
      </c>
      <c r="P19" s="3">
        <f>40400+63024</f>
        <v>103424</v>
      </c>
      <c r="Q19" s="115">
        <f t="shared" si="1"/>
        <v>0</v>
      </c>
      <c r="R19" s="4"/>
    </row>
    <row r="20" spans="1:18" x14ac:dyDescent="0.25">
      <c r="A20" s="83">
        <v>46059</v>
      </c>
      <c r="B20" s="246" t="s">
        <v>344</v>
      </c>
      <c r="C20" s="1099"/>
      <c r="D20" s="149"/>
      <c r="E20" s="498">
        <f>E19</f>
        <v>2744950</v>
      </c>
      <c r="F20" s="3"/>
      <c r="G20" s="3"/>
      <c r="H20" s="3"/>
      <c r="I20" s="3"/>
      <c r="J20" s="3"/>
      <c r="L20" s="13">
        <v>46066</v>
      </c>
      <c r="M20" s="4"/>
      <c r="N20" s="4"/>
      <c r="O20" s="3">
        <f t="shared" si="0"/>
        <v>0</v>
      </c>
      <c r="P20" s="3">
        <v>164625</v>
      </c>
      <c r="Q20" s="115">
        <f t="shared" si="1"/>
        <v>0</v>
      </c>
      <c r="R20" s="4"/>
    </row>
    <row r="21" spans="1:18" ht="15.75" thickBot="1" x14ac:dyDescent="0.3">
      <c r="B21" s="4" t="s">
        <v>345</v>
      </c>
      <c r="C21" s="4"/>
      <c r="D21" s="3">
        <v>1705369</v>
      </c>
      <c r="E21" s="498">
        <f>E20+P13</f>
        <v>3836632</v>
      </c>
      <c r="F21" s="3">
        <v>5744410</v>
      </c>
      <c r="G21" s="3">
        <f>J21-H21-F21-E21-D21</f>
        <v>646871</v>
      </c>
      <c r="H21" s="3">
        <v>8066718</v>
      </c>
      <c r="I21" s="3"/>
      <c r="J21" s="3">
        <v>20000000</v>
      </c>
      <c r="L21" s="13">
        <v>46067</v>
      </c>
      <c r="M21" s="4"/>
      <c r="N21" s="4"/>
      <c r="O21" s="3">
        <f t="shared" si="0"/>
        <v>0</v>
      </c>
      <c r="P21" s="3"/>
      <c r="Q21" s="115">
        <f t="shared" si="1"/>
        <v>0</v>
      </c>
      <c r="R21" s="4"/>
    </row>
    <row r="22" spans="1:18" x14ac:dyDescent="0.25">
      <c r="A22" s="83">
        <v>46060</v>
      </c>
      <c r="B22" s="246" t="s">
        <v>344</v>
      </c>
      <c r="C22" s="1099"/>
      <c r="D22" s="149"/>
      <c r="E22" s="498"/>
      <c r="F22" s="3"/>
      <c r="G22" s="3"/>
      <c r="H22" s="3"/>
      <c r="I22" s="3"/>
      <c r="J22" s="3"/>
      <c r="L22" s="13">
        <v>46068</v>
      </c>
      <c r="M22" s="4"/>
      <c r="N22" s="4"/>
      <c r="O22" s="3">
        <f t="shared" si="0"/>
        <v>0</v>
      </c>
      <c r="P22" s="3"/>
      <c r="Q22" s="115">
        <f t="shared" si="1"/>
        <v>0</v>
      </c>
      <c r="R22" s="4"/>
    </row>
    <row r="23" spans="1:18" ht="15.75" thickBot="1" x14ac:dyDescent="0.3">
      <c r="B23" s="4" t="s">
        <v>345</v>
      </c>
      <c r="C23" s="4"/>
      <c r="D23" s="4"/>
      <c r="E23" s="499"/>
      <c r="F23" s="4"/>
      <c r="G23" s="4"/>
      <c r="H23" s="4"/>
      <c r="I23" s="4"/>
      <c r="J23" s="4"/>
      <c r="L23" s="13">
        <v>46069</v>
      </c>
      <c r="M23" s="4"/>
      <c r="N23" s="4"/>
      <c r="O23" s="3">
        <f t="shared" si="0"/>
        <v>0</v>
      </c>
      <c r="P23" s="3"/>
      <c r="Q23" s="115">
        <f t="shared" si="1"/>
        <v>0</v>
      </c>
      <c r="R23" s="4"/>
    </row>
    <row r="24" spans="1:18" x14ac:dyDescent="0.25">
      <c r="A24" s="83">
        <v>46061</v>
      </c>
      <c r="B24" s="246" t="s">
        <v>344</v>
      </c>
      <c r="C24" s="1099"/>
      <c r="D24" s="149"/>
      <c r="E24" s="498"/>
      <c r="F24" s="3"/>
      <c r="G24" s="3"/>
      <c r="H24" s="3"/>
      <c r="I24" s="3"/>
      <c r="J24" s="3"/>
      <c r="L24" s="13">
        <v>46070</v>
      </c>
      <c r="M24" s="4"/>
      <c r="N24" s="4"/>
      <c r="O24" s="3">
        <f t="shared" si="0"/>
        <v>0</v>
      </c>
      <c r="P24" s="3"/>
      <c r="Q24" s="115">
        <f t="shared" si="1"/>
        <v>0</v>
      </c>
      <c r="R24" s="4"/>
    </row>
    <row r="25" spans="1:18" ht="15.75" thickBot="1" x14ac:dyDescent="0.3">
      <c r="B25" s="4" t="s">
        <v>345</v>
      </c>
      <c r="C25" s="4"/>
      <c r="D25" s="4"/>
      <c r="E25" s="499"/>
      <c r="F25" s="4"/>
      <c r="G25" s="4"/>
      <c r="H25" s="4"/>
      <c r="I25" s="4"/>
      <c r="J25" s="4"/>
      <c r="L25" s="13">
        <v>46071</v>
      </c>
      <c r="M25" s="4"/>
      <c r="N25" s="4"/>
      <c r="O25" s="3">
        <f t="shared" si="0"/>
        <v>0</v>
      </c>
      <c r="P25" s="3">
        <v>40400</v>
      </c>
      <c r="Q25" s="115">
        <f t="shared" si="1"/>
        <v>0</v>
      </c>
      <c r="R25" s="4"/>
    </row>
    <row r="26" spans="1:18" x14ac:dyDescent="0.25">
      <c r="A26" s="83">
        <v>46062</v>
      </c>
      <c r="B26" s="246" t="s">
        <v>344</v>
      </c>
      <c r="C26" s="1099"/>
      <c r="D26" s="149"/>
      <c r="E26" s="498"/>
      <c r="F26" s="3"/>
      <c r="G26" s="3"/>
      <c r="H26" s="3"/>
      <c r="I26" s="3"/>
      <c r="J26" s="3"/>
      <c r="L26" s="13">
        <v>46072</v>
      </c>
      <c r="M26" s="4"/>
      <c r="N26" s="4"/>
      <c r="O26" s="3">
        <f t="shared" si="0"/>
        <v>0</v>
      </c>
      <c r="P26" s="3">
        <v>128265</v>
      </c>
      <c r="Q26" s="115">
        <f t="shared" si="1"/>
        <v>0</v>
      </c>
      <c r="R26" s="4"/>
    </row>
    <row r="27" spans="1:18" ht="15.75" thickBot="1" x14ac:dyDescent="0.3">
      <c r="B27" s="4" t="s">
        <v>345</v>
      </c>
      <c r="C27" s="4"/>
      <c r="D27" s="4"/>
      <c r="E27" s="499"/>
      <c r="F27" s="4"/>
      <c r="G27" s="4"/>
      <c r="H27" s="4"/>
      <c r="I27" s="4"/>
      <c r="J27" s="4"/>
      <c r="L27" s="13">
        <v>46073</v>
      </c>
      <c r="M27" s="4"/>
      <c r="N27" s="4"/>
      <c r="O27" s="3">
        <f t="shared" si="0"/>
        <v>0</v>
      </c>
      <c r="P27" s="3">
        <f>30800+27775+16160</f>
        <v>74735</v>
      </c>
      <c r="Q27" s="115">
        <f t="shared" si="1"/>
        <v>0</v>
      </c>
      <c r="R27" s="4"/>
    </row>
    <row r="28" spans="1:18" x14ac:dyDescent="0.25">
      <c r="A28" s="83">
        <v>46063</v>
      </c>
      <c r="B28" s="246" t="s">
        <v>344</v>
      </c>
      <c r="C28" s="1099"/>
      <c r="D28" s="149"/>
      <c r="E28" s="498"/>
      <c r="F28" s="3"/>
      <c r="G28" s="3"/>
      <c r="H28" s="3"/>
      <c r="I28" s="3"/>
      <c r="J28" s="3"/>
      <c r="L28" s="4"/>
      <c r="M28" s="4"/>
      <c r="N28" s="4"/>
      <c r="O28" s="3">
        <f t="shared" si="0"/>
        <v>0</v>
      </c>
      <c r="P28" s="4"/>
      <c r="Q28" s="115">
        <f t="shared" si="1"/>
        <v>0</v>
      </c>
      <c r="R28" s="4"/>
    </row>
    <row r="29" spans="1:18" ht="15.75" thickBot="1" x14ac:dyDescent="0.3">
      <c r="B29" s="247" t="s">
        <v>345</v>
      </c>
      <c r="C29" s="1100"/>
      <c r="D29" s="19"/>
      <c r="E29" s="499"/>
      <c r="F29" s="4"/>
      <c r="G29" s="4"/>
      <c r="H29" s="4"/>
      <c r="I29" s="4"/>
      <c r="J29" s="4"/>
      <c r="L29" s="4"/>
      <c r="M29" s="4"/>
      <c r="N29" s="4"/>
      <c r="O29" s="3">
        <f t="shared" si="0"/>
        <v>0</v>
      </c>
      <c r="P29" s="4"/>
      <c r="Q29" s="115">
        <f t="shared" si="1"/>
        <v>0</v>
      </c>
      <c r="R29" s="4"/>
    </row>
    <row r="30" spans="1:18" x14ac:dyDescent="0.25">
      <c r="A30" s="83">
        <v>46064</v>
      </c>
      <c r="B30" s="246" t="s">
        <v>344</v>
      </c>
      <c r="C30" s="1099"/>
      <c r="D30" s="149"/>
      <c r="E30" s="498"/>
      <c r="F30" s="3"/>
      <c r="G30" s="3"/>
      <c r="H30" s="3"/>
      <c r="I30" s="3"/>
      <c r="J30" s="3"/>
      <c r="L30" s="4"/>
      <c r="M30" s="4"/>
      <c r="N30" s="4"/>
      <c r="O30" s="3">
        <f t="shared" si="0"/>
        <v>0</v>
      </c>
      <c r="P30" s="4"/>
      <c r="Q30" s="115">
        <f t="shared" si="1"/>
        <v>0</v>
      </c>
      <c r="R30" s="4"/>
    </row>
    <row r="31" spans="1:18" ht="15.75" thickBot="1" x14ac:dyDescent="0.3">
      <c r="B31" s="247" t="s">
        <v>345</v>
      </c>
      <c r="C31" s="1100"/>
      <c r="D31" s="19"/>
      <c r="E31" s="499"/>
      <c r="F31" s="4"/>
      <c r="G31" s="4"/>
      <c r="H31" s="4"/>
      <c r="I31" s="4"/>
      <c r="J31" s="4"/>
      <c r="L31" s="4"/>
      <c r="M31" s="4"/>
      <c r="N31" s="4"/>
      <c r="O31" s="3">
        <f t="shared" si="0"/>
        <v>0</v>
      </c>
      <c r="P31" s="4"/>
      <c r="Q31" s="115">
        <f t="shared" si="1"/>
        <v>0</v>
      </c>
      <c r="R31" s="4"/>
    </row>
    <row r="32" spans="1:18" ht="15.75" thickBot="1" x14ac:dyDescent="0.3">
      <c r="A32" s="83">
        <v>46065</v>
      </c>
      <c r="B32" s="246" t="s">
        <v>344</v>
      </c>
      <c r="C32" s="1099"/>
      <c r="D32" s="149"/>
      <c r="E32" s="498"/>
      <c r="F32" s="3"/>
      <c r="G32" s="3"/>
      <c r="H32" s="3"/>
      <c r="I32" s="3"/>
      <c r="J32" s="3"/>
      <c r="L32" s="4"/>
      <c r="M32" s="4"/>
      <c r="N32" s="4"/>
      <c r="O32" s="3">
        <f t="shared" si="0"/>
        <v>0</v>
      </c>
      <c r="P32" s="135"/>
      <c r="Q32" s="115">
        <f t="shared" si="1"/>
        <v>0</v>
      </c>
      <c r="R32" s="4"/>
    </row>
    <row r="33" spans="1:18" ht="15.75" thickBot="1" x14ac:dyDescent="0.3">
      <c r="B33" s="247" t="s">
        <v>345</v>
      </c>
      <c r="C33" s="1100"/>
      <c r="D33" s="19"/>
      <c r="E33" s="499"/>
      <c r="F33" s="4"/>
      <c r="G33" s="4"/>
      <c r="H33" s="4"/>
      <c r="I33" s="4"/>
      <c r="J33" s="4"/>
      <c r="P33" s="186">
        <f>SUM(P9:P32)</f>
        <v>2113666</v>
      </c>
      <c r="R33" s="5">
        <f>SUM(R9:R32)</f>
        <v>2775397</v>
      </c>
    </row>
    <row r="34" spans="1:18" x14ac:dyDescent="0.25">
      <c r="A34" s="83">
        <v>46066</v>
      </c>
      <c r="B34" s="246" t="s">
        <v>344</v>
      </c>
      <c r="C34" s="1099"/>
      <c r="D34" s="149"/>
      <c r="E34" s="498"/>
      <c r="F34" s="3"/>
      <c r="G34" s="3"/>
      <c r="H34" s="3"/>
      <c r="I34" s="3"/>
      <c r="J34" s="3"/>
      <c r="N34" s="163"/>
    </row>
    <row r="35" spans="1:18" ht="15.75" thickBot="1" x14ac:dyDescent="0.3">
      <c r="B35" s="247" t="s">
        <v>345</v>
      </c>
      <c r="C35" s="1100"/>
      <c r="D35" s="19"/>
      <c r="E35" s="499"/>
      <c r="F35" s="4"/>
      <c r="G35" s="4"/>
      <c r="H35" s="4"/>
      <c r="I35" s="4"/>
      <c r="J35" s="4"/>
      <c r="N35" s="163"/>
    </row>
    <row r="36" spans="1:18" x14ac:dyDescent="0.25">
      <c r="A36" s="83">
        <v>46067</v>
      </c>
      <c r="B36" s="246" t="s">
        <v>344</v>
      </c>
      <c r="C36" s="1099"/>
      <c r="D36" s="149"/>
      <c r="E36" s="498"/>
      <c r="F36" s="3"/>
      <c r="G36" s="3"/>
      <c r="H36" s="3"/>
      <c r="I36" s="3"/>
      <c r="J36" s="3"/>
      <c r="N36" s="163"/>
    </row>
    <row r="37" spans="1:18" ht="15.75" thickBot="1" x14ac:dyDescent="0.3">
      <c r="B37" s="247" t="s">
        <v>345</v>
      </c>
      <c r="C37" s="1100"/>
      <c r="D37" s="19"/>
      <c r="E37" s="499"/>
      <c r="F37" s="4"/>
      <c r="G37" s="4"/>
      <c r="H37" s="4"/>
      <c r="I37" s="4"/>
      <c r="J37" s="4"/>
      <c r="N37" s="163"/>
    </row>
    <row r="38" spans="1:18" x14ac:dyDescent="0.25">
      <c r="A38" s="83">
        <v>46068</v>
      </c>
      <c r="B38" s="246" t="s">
        <v>344</v>
      </c>
      <c r="C38" s="1099"/>
      <c r="D38" s="149"/>
      <c r="E38" s="498"/>
      <c r="F38" s="3"/>
      <c r="G38" s="3"/>
      <c r="H38" s="3"/>
      <c r="I38" s="3"/>
      <c r="J38" s="3"/>
    </row>
    <row r="39" spans="1:18" ht="15.75" thickBot="1" x14ac:dyDescent="0.3">
      <c r="B39" s="247" t="s">
        <v>345</v>
      </c>
      <c r="C39" s="1100"/>
      <c r="D39" s="19"/>
      <c r="E39" s="499"/>
      <c r="F39" s="4"/>
      <c r="G39" s="4"/>
      <c r="H39" s="4"/>
      <c r="I39" s="4"/>
      <c r="J39" s="4"/>
      <c r="N39" s="163"/>
    </row>
    <row r="40" spans="1:18" x14ac:dyDescent="0.25">
      <c r="A40" s="83">
        <v>46069</v>
      </c>
      <c r="B40" s="246" t="s">
        <v>344</v>
      </c>
      <c r="C40" s="1099"/>
      <c r="D40" s="149"/>
      <c r="E40" s="498"/>
      <c r="F40" s="3"/>
      <c r="G40" s="3"/>
      <c r="H40" s="3"/>
      <c r="I40" s="3"/>
      <c r="J40" s="3"/>
      <c r="N40" s="163"/>
    </row>
    <row r="41" spans="1:18" ht="15.75" thickBot="1" x14ac:dyDescent="0.3">
      <c r="B41" s="247" t="s">
        <v>345</v>
      </c>
      <c r="C41" s="1100"/>
      <c r="D41" s="19"/>
      <c r="E41" s="499"/>
      <c r="F41" s="4"/>
      <c r="G41" s="4"/>
      <c r="H41" s="4"/>
      <c r="I41" s="4"/>
      <c r="J41" s="4"/>
      <c r="N41" s="163"/>
    </row>
    <row r="42" spans="1:18" x14ac:dyDescent="0.25">
      <c r="A42" s="83">
        <v>46070</v>
      </c>
      <c r="B42" s="246" t="s">
        <v>344</v>
      </c>
      <c r="C42" s="1099"/>
      <c r="D42" s="149"/>
      <c r="E42" s="498"/>
      <c r="F42" s="3"/>
      <c r="G42" s="3"/>
      <c r="H42" s="3"/>
      <c r="I42" s="3"/>
      <c r="J42" s="3"/>
      <c r="N42" s="163"/>
    </row>
    <row r="43" spans="1:18" ht="15.75" thickBot="1" x14ac:dyDescent="0.3">
      <c r="B43" s="247" t="s">
        <v>345</v>
      </c>
      <c r="C43" s="1100"/>
      <c r="D43" s="19"/>
      <c r="E43" s="499"/>
      <c r="F43" s="4"/>
      <c r="G43" s="4"/>
      <c r="H43" s="4"/>
      <c r="I43" s="4"/>
      <c r="J43" s="4"/>
      <c r="N43" s="163"/>
    </row>
    <row r="44" spans="1:18" x14ac:dyDescent="0.25">
      <c r="A44" s="83">
        <v>46071</v>
      </c>
      <c r="B44" s="246" t="s">
        <v>344</v>
      </c>
      <c r="C44" s="1099"/>
      <c r="D44" s="149"/>
      <c r="E44" s="498"/>
      <c r="F44" s="3"/>
      <c r="G44" s="3"/>
      <c r="H44" s="3"/>
      <c r="I44" s="3"/>
      <c r="J44" s="3"/>
      <c r="N44" s="5"/>
    </row>
    <row r="45" spans="1:18" ht="15.75" thickBot="1" x14ac:dyDescent="0.3">
      <c r="B45" s="247" t="s">
        <v>345</v>
      </c>
      <c r="C45" s="1100"/>
      <c r="D45" s="19"/>
      <c r="E45" s="499"/>
      <c r="F45" s="4"/>
      <c r="G45" s="4"/>
      <c r="H45" s="4"/>
      <c r="I45" s="4"/>
      <c r="J45" s="4"/>
    </row>
    <row r="46" spans="1:18" x14ac:dyDescent="0.25">
      <c r="A46" s="83">
        <v>46072</v>
      </c>
      <c r="B46" s="246" t="s">
        <v>344</v>
      </c>
      <c r="C46" s="1099"/>
      <c r="D46" s="149"/>
      <c r="E46" s="498"/>
      <c r="F46" s="3"/>
      <c r="G46" s="3"/>
      <c r="H46" s="3"/>
      <c r="I46" s="3"/>
      <c r="J46" s="3"/>
      <c r="N46" s="163"/>
    </row>
    <row r="47" spans="1:18" ht="15.75" thickBot="1" x14ac:dyDescent="0.3">
      <c r="B47" s="247" t="s">
        <v>345</v>
      </c>
      <c r="C47" s="1100"/>
      <c r="D47" s="19"/>
      <c r="E47" s="499"/>
      <c r="F47" s="4"/>
      <c r="G47" s="4"/>
      <c r="H47" s="4"/>
      <c r="I47" s="4"/>
      <c r="J47" s="4"/>
      <c r="N47" s="163"/>
    </row>
    <row r="48" spans="1:18" x14ac:dyDescent="0.25">
      <c r="A48" s="83">
        <v>46073</v>
      </c>
      <c r="B48" s="246" t="s">
        <v>344</v>
      </c>
      <c r="C48" s="1099"/>
      <c r="D48" s="149">
        <v>4367203</v>
      </c>
      <c r="E48" s="498">
        <f>P33</f>
        <v>2113666</v>
      </c>
      <c r="F48" s="3">
        <v>4745141</v>
      </c>
      <c r="G48" s="221">
        <f>J48-H48-F48-E48-D48</f>
        <v>2277600</v>
      </c>
      <c r="H48" s="3">
        <v>1496390</v>
      </c>
      <c r="I48" s="3"/>
      <c r="J48" s="3">
        <v>15000000</v>
      </c>
    </row>
    <row r="49" spans="1:10" ht="15.75" thickBot="1" x14ac:dyDescent="0.3">
      <c r="B49" s="247" t="s">
        <v>345</v>
      </c>
      <c r="C49" s="1100"/>
      <c r="D49" s="19"/>
      <c r="E49" s="499"/>
      <c r="F49" s="4"/>
      <c r="G49" s="4"/>
      <c r="H49" s="4"/>
      <c r="I49" s="4"/>
      <c r="J49" s="4"/>
    </row>
    <row r="50" spans="1:10" x14ac:dyDescent="0.25">
      <c r="A50" s="83">
        <v>46074</v>
      </c>
      <c r="B50" s="246" t="s">
        <v>344</v>
      </c>
      <c r="C50" s="1099"/>
      <c r="D50" s="149">
        <v>2821940</v>
      </c>
      <c r="E50" s="498">
        <f>P33</f>
        <v>2113666</v>
      </c>
      <c r="F50" s="3">
        <v>6049006</v>
      </c>
      <c r="G50" s="221">
        <f>J50-H50-F50-E50-D50</f>
        <v>2518998</v>
      </c>
      <c r="H50" s="3">
        <v>1496390</v>
      </c>
      <c r="I50" s="3"/>
      <c r="J50" s="3">
        <v>15000000</v>
      </c>
    </row>
    <row r="51" spans="1:10" ht="15.75" thickBot="1" x14ac:dyDescent="0.3">
      <c r="B51" s="247" t="s">
        <v>345</v>
      </c>
      <c r="C51" s="1100"/>
      <c r="D51" s="19"/>
      <c r="E51" s="499"/>
      <c r="F51" s="4"/>
      <c r="G51" s="4"/>
      <c r="H51" s="4"/>
      <c r="I51" s="4"/>
      <c r="J51" s="4"/>
    </row>
    <row r="52" spans="1:10" x14ac:dyDescent="0.25">
      <c r="A52" s="83">
        <v>46075</v>
      </c>
      <c r="B52" s="246" t="s">
        <v>344</v>
      </c>
      <c r="C52" s="1099"/>
      <c r="D52" s="149"/>
      <c r="E52" s="498"/>
      <c r="F52" s="3"/>
      <c r="G52" s="3"/>
      <c r="H52" s="3"/>
      <c r="I52" s="3"/>
      <c r="J52" s="3"/>
    </row>
    <row r="53" spans="1:10" ht="15.75" thickBot="1" x14ac:dyDescent="0.3">
      <c r="B53" s="247" t="s">
        <v>345</v>
      </c>
      <c r="C53" s="1100"/>
      <c r="D53" s="19"/>
      <c r="E53" s="499"/>
      <c r="F53" s="4"/>
      <c r="G53" s="4"/>
      <c r="H53" s="4"/>
      <c r="I53" s="4"/>
      <c r="J53" s="4"/>
    </row>
    <row r="54" spans="1:10" x14ac:dyDescent="0.25">
      <c r="A54" s="83">
        <v>46076</v>
      </c>
      <c r="B54" s="246" t="s">
        <v>344</v>
      </c>
      <c r="C54" s="1099"/>
      <c r="D54" s="149"/>
      <c r="E54" s="498"/>
      <c r="F54" s="3"/>
      <c r="G54" s="3"/>
      <c r="H54" s="3"/>
      <c r="I54" s="3"/>
      <c r="J54" s="3"/>
    </row>
    <row r="55" spans="1:10" ht="15.75" thickBot="1" x14ac:dyDescent="0.3">
      <c r="B55" s="247" t="s">
        <v>345</v>
      </c>
      <c r="C55" s="1100"/>
      <c r="D55" s="19"/>
      <c r="E55" s="499"/>
      <c r="F55" s="4"/>
      <c r="G55" s="4"/>
      <c r="H55" s="4"/>
      <c r="I55" s="4"/>
      <c r="J55" s="4"/>
    </row>
    <row r="56" spans="1:10" x14ac:dyDescent="0.25">
      <c r="A56" s="83">
        <v>46077</v>
      </c>
      <c r="B56" s="246" t="s">
        <v>344</v>
      </c>
      <c r="C56" s="1099"/>
      <c r="D56" s="149"/>
      <c r="E56" s="498"/>
      <c r="F56" s="3"/>
      <c r="G56" s="3"/>
      <c r="H56" s="3"/>
      <c r="I56" s="3"/>
      <c r="J56" s="3"/>
    </row>
    <row r="57" spans="1:10" ht="15.75" thickBot="1" x14ac:dyDescent="0.3">
      <c r="B57" s="247" t="s">
        <v>345</v>
      </c>
      <c r="C57" s="1100"/>
      <c r="D57" s="19"/>
      <c r="E57" s="499"/>
      <c r="F57" s="4"/>
      <c r="G57" s="4"/>
      <c r="H57" s="4"/>
      <c r="I57" s="4"/>
      <c r="J57" s="4"/>
    </row>
    <row r="58" spans="1:10" x14ac:dyDescent="0.25">
      <c r="A58" s="83">
        <v>46078</v>
      </c>
      <c r="B58" s="246" t="s">
        <v>344</v>
      </c>
      <c r="C58" s="1099"/>
      <c r="D58" s="149"/>
      <c r="E58" s="498"/>
      <c r="F58" s="3"/>
      <c r="G58" s="3"/>
      <c r="H58" s="3"/>
      <c r="I58" s="3"/>
      <c r="J58" s="3"/>
    </row>
    <row r="59" spans="1:10" ht="15.75" thickBot="1" x14ac:dyDescent="0.3">
      <c r="B59" s="247" t="s">
        <v>345</v>
      </c>
      <c r="C59" s="1100"/>
      <c r="D59" s="19"/>
      <c r="E59" s="499"/>
      <c r="F59" s="4"/>
      <c r="G59" s="4"/>
      <c r="H59" s="4"/>
      <c r="I59" s="4"/>
      <c r="J59" s="4"/>
    </row>
    <row r="60" spans="1:10" x14ac:dyDescent="0.25">
      <c r="A60" s="83">
        <v>46079</v>
      </c>
      <c r="B60" s="246" t="s">
        <v>344</v>
      </c>
      <c r="C60" s="1099"/>
      <c r="D60" s="149"/>
      <c r="E60" s="498"/>
      <c r="F60" s="3"/>
      <c r="G60" s="3"/>
      <c r="H60" s="3"/>
      <c r="I60" s="3"/>
      <c r="J60" s="3"/>
    </row>
    <row r="61" spans="1:10" ht="15.75" thickBot="1" x14ac:dyDescent="0.3">
      <c r="B61" s="247" t="s">
        <v>345</v>
      </c>
      <c r="C61" s="1100"/>
      <c r="D61" s="19"/>
      <c r="E61" s="499"/>
      <c r="F61" s="4"/>
      <c r="G61" s="4"/>
      <c r="H61" s="4"/>
      <c r="I61" s="4"/>
      <c r="J61" s="4"/>
    </row>
    <row r="62" spans="1:10" x14ac:dyDescent="0.25">
      <c r="A62" s="83">
        <v>46080</v>
      </c>
      <c r="B62" s="246" t="s">
        <v>344</v>
      </c>
      <c r="C62" s="1099"/>
      <c r="D62" s="149"/>
      <c r="E62" s="498"/>
      <c r="F62" s="3"/>
      <c r="G62" s="3"/>
      <c r="H62" s="3"/>
      <c r="I62" s="3"/>
      <c r="J62" s="3"/>
    </row>
    <row r="63" spans="1:10" ht="15.75" thickBot="1" x14ac:dyDescent="0.3">
      <c r="B63" s="247" t="s">
        <v>345</v>
      </c>
      <c r="C63" s="1100"/>
      <c r="D63" s="19"/>
      <c r="E63" s="499"/>
      <c r="F63" s="4"/>
      <c r="G63" s="4"/>
      <c r="H63" s="4"/>
      <c r="I63" s="4"/>
      <c r="J63" s="4"/>
    </row>
    <row r="64" spans="1:10" x14ac:dyDescent="0.25">
      <c r="A64" s="83">
        <v>46081</v>
      </c>
      <c r="B64" s="246" t="s">
        <v>344</v>
      </c>
      <c r="C64" s="1099"/>
      <c r="D64" s="149"/>
      <c r="E64" s="498"/>
      <c r="F64" s="3"/>
      <c r="G64" s="3"/>
      <c r="H64" s="3"/>
      <c r="I64" s="3"/>
      <c r="J64" s="3"/>
    </row>
    <row r="65" spans="1:14" ht="15.75" thickBot="1" x14ac:dyDescent="0.3">
      <c r="B65" s="247" t="s">
        <v>345</v>
      </c>
      <c r="C65" s="1100"/>
      <c r="D65" s="19"/>
      <c r="E65" s="499"/>
      <c r="F65" s="4"/>
      <c r="G65" s="4"/>
      <c r="H65" s="4"/>
      <c r="I65" s="4"/>
      <c r="J65" s="4"/>
    </row>
    <row r="66" spans="1:14" x14ac:dyDescent="0.25">
      <c r="E66" s="730"/>
    </row>
    <row r="67" spans="1:14" ht="15.75" thickBot="1" x14ac:dyDescent="0.3"/>
    <row r="68" spans="1:14" ht="15.75" thickBot="1" x14ac:dyDescent="0.3">
      <c r="A68" s="304" t="s">
        <v>343</v>
      </c>
      <c r="B68" s="305" t="s">
        <v>346</v>
      </c>
      <c r="C68" s="305"/>
      <c r="D68" s="305" t="s">
        <v>337</v>
      </c>
      <c r="E68" s="305" t="s">
        <v>338</v>
      </c>
      <c r="F68" s="305" t="s">
        <v>339</v>
      </c>
      <c r="G68" s="305" t="s">
        <v>342</v>
      </c>
      <c r="H68" s="305" t="s">
        <v>1120</v>
      </c>
      <c r="I68" s="844" t="s">
        <v>994</v>
      </c>
      <c r="J68" s="306" t="s">
        <v>25</v>
      </c>
    </row>
    <row r="69" spans="1:14" ht="15.75" thickBot="1" x14ac:dyDescent="0.3">
      <c r="A69" s="1222" t="s">
        <v>341</v>
      </c>
      <c r="B69" s="1223"/>
      <c r="C69" s="1223"/>
      <c r="D69" s="1223"/>
      <c r="E69" s="1223"/>
      <c r="F69" s="1223"/>
      <c r="G69" s="1223"/>
      <c r="H69" s="1224"/>
      <c r="I69" s="734"/>
      <c r="J69" s="87">
        <v>15000000</v>
      </c>
    </row>
    <row r="70" spans="1:14" x14ac:dyDescent="0.25">
      <c r="A70" s="83">
        <v>46099</v>
      </c>
      <c r="B70" s="731" t="s">
        <v>344</v>
      </c>
      <c r="C70" s="1101"/>
      <c r="D70" s="149">
        <v>3330516</v>
      </c>
      <c r="E70" s="498">
        <v>1160413</v>
      </c>
      <c r="F70" s="3">
        <v>3783337</v>
      </c>
      <c r="G70" s="3">
        <f>J70-D70-E70-F70-H70</f>
        <v>4309606</v>
      </c>
      <c r="H70" s="3">
        <f>1460000+216128+740000</f>
        <v>2416128</v>
      </c>
      <c r="I70" s="3">
        <v>1460000</v>
      </c>
      <c r="J70" s="3">
        <v>15000000</v>
      </c>
      <c r="M70" t="s">
        <v>993</v>
      </c>
    </row>
    <row r="71" spans="1:14" ht="15.75" thickBot="1" x14ac:dyDescent="0.3">
      <c r="B71" s="732" t="s">
        <v>345</v>
      </c>
      <c r="C71" s="1102"/>
      <c r="D71" s="149"/>
      <c r="E71" s="498">
        <v>1160413</v>
      </c>
      <c r="F71" s="3"/>
      <c r="G71" s="3"/>
      <c r="H71" s="3">
        <f>H70</f>
        <v>2416128</v>
      </c>
      <c r="I71" s="3"/>
      <c r="J71" s="3"/>
      <c r="M71" t="s">
        <v>994</v>
      </c>
      <c r="N71" s="18">
        <v>1460000</v>
      </c>
    </row>
    <row r="72" spans="1:14" x14ac:dyDescent="0.25">
      <c r="M72" t="s">
        <v>995</v>
      </c>
      <c r="N72" s="18">
        <v>740000</v>
      </c>
    </row>
    <row r="73" spans="1:14" x14ac:dyDescent="0.25">
      <c r="M73" t="s">
        <v>996</v>
      </c>
      <c r="N73" s="18">
        <v>216128</v>
      </c>
    </row>
    <row r="74" spans="1:14" x14ac:dyDescent="0.25">
      <c r="N74">
        <f>SUM(N71:N73)</f>
        <v>2416128</v>
      </c>
    </row>
    <row r="80" spans="1:14" x14ac:dyDescent="0.25">
      <c r="D80" s="3">
        <f>3330516+99688</f>
        <v>3430204</v>
      </c>
      <c r="E80" s="3">
        <v>1160413</v>
      </c>
      <c r="F80" s="3">
        <v>7837259</v>
      </c>
      <c r="G80" s="733">
        <f>J80-H80-F80-E80-D80</f>
        <v>155996</v>
      </c>
      <c r="H80" s="3">
        <f>H71</f>
        <v>2416128</v>
      </c>
      <c r="I80" s="3"/>
      <c r="J80" s="3">
        <v>15000000</v>
      </c>
    </row>
    <row r="83" spans="1:14" x14ac:dyDescent="0.25">
      <c r="A83" s="843">
        <v>46113</v>
      </c>
    </row>
    <row r="84" spans="1:14" ht="15.75" thickBot="1" x14ac:dyDescent="0.3"/>
    <row r="85" spans="1:14" ht="15.75" thickBot="1" x14ac:dyDescent="0.3">
      <c r="A85" s="304" t="s">
        <v>343</v>
      </c>
      <c r="B85" s="305" t="s">
        <v>346</v>
      </c>
      <c r="C85" s="305"/>
      <c r="D85" s="305" t="s">
        <v>337</v>
      </c>
      <c r="E85" s="305" t="s">
        <v>338</v>
      </c>
      <c r="F85" s="305" t="s">
        <v>339</v>
      </c>
      <c r="G85" s="305" t="s">
        <v>342</v>
      </c>
      <c r="H85" s="305" t="s">
        <v>462</v>
      </c>
      <c r="I85" s="305" t="s">
        <v>1121</v>
      </c>
      <c r="J85" s="306" t="s">
        <v>25</v>
      </c>
    </row>
    <row r="86" spans="1:14" ht="15.75" thickBot="1" x14ac:dyDescent="0.3">
      <c r="A86" s="842">
        <v>46130</v>
      </c>
      <c r="B86" t="s">
        <v>345</v>
      </c>
      <c r="D86" s="18">
        <v>2756222</v>
      </c>
      <c r="E86" s="18">
        <v>1112265</v>
      </c>
      <c r="F86" s="18">
        <v>3086364</v>
      </c>
      <c r="G86" s="845">
        <f>J86-I86-H86-F86-E86-D86</f>
        <v>3494579</v>
      </c>
      <c r="H86" s="18">
        <f>2255610+834960</f>
        <v>3090570</v>
      </c>
      <c r="I86" s="18">
        <v>1460000</v>
      </c>
      <c r="J86" s="18">
        <v>15000000</v>
      </c>
    </row>
    <row r="89" spans="1:14" ht="15.75" thickBot="1" x14ac:dyDescent="0.3"/>
    <row r="90" spans="1:14" ht="15.75" thickBot="1" x14ac:dyDescent="0.3">
      <c r="A90" s="304" t="s">
        <v>343</v>
      </c>
      <c r="B90" s="305" t="s">
        <v>346</v>
      </c>
      <c r="C90" s="305" t="s">
        <v>1471</v>
      </c>
      <c r="D90" s="305" t="s">
        <v>337</v>
      </c>
      <c r="E90" s="305" t="s">
        <v>338</v>
      </c>
      <c r="F90" s="305" t="s">
        <v>339</v>
      </c>
      <c r="G90" s="305" t="s">
        <v>342</v>
      </c>
      <c r="H90" s="305" t="s">
        <v>462</v>
      </c>
      <c r="I90" s="305" t="s">
        <v>1333</v>
      </c>
      <c r="J90" s="306" t="s">
        <v>25</v>
      </c>
    </row>
    <row r="91" spans="1:14" ht="15.75" thickBot="1" x14ac:dyDescent="0.3">
      <c r="A91" s="879" t="s">
        <v>1332</v>
      </c>
      <c r="D91" s="18">
        <v>1438654</v>
      </c>
      <c r="E91" s="18">
        <v>1697556</v>
      </c>
      <c r="F91" s="18">
        <v>5946113</v>
      </c>
      <c r="G91" s="5">
        <f>J91-I91-H91-F91-E91-D91</f>
        <v>2445517</v>
      </c>
      <c r="H91" s="18">
        <v>312160</v>
      </c>
      <c r="I91" s="18">
        <f>1460000+1700000</f>
        <v>3160000</v>
      </c>
      <c r="J91" s="18">
        <v>15000000</v>
      </c>
      <c r="N91" s="18">
        <v>87860</v>
      </c>
    </row>
    <row r="92" spans="1:14" ht="15.75" thickBot="1" x14ac:dyDescent="0.3">
      <c r="A92" t="s">
        <v>1334</v>
      </c>
      <c r="D92" s="18">
        <v>1673785</v>
      </c>
      <c r="E92" s="18">
        <f>E91+589775</f>
        <v>2287331</v>
      </c>
      <c r="F92" s="18">
        <v>5504642</v>
      </c>
      <c r="G92" s="114">
        <f>J92-I92-H92-F92-E92-D92</f>
        <v>2062082</v>
      </c>
      <c r="H92" s="18">
        <f>H91</f>
        <v>312160</v>
      </c>
      <c r="I92" s="18">
        <f>1460000+1700000</f>
        <v>3160000</v>
      </c>
      <c r="J92" s="18">
        <v>15000000</v>
      </c>
      <c r="L92" t="s">
        <v>1385</v>
      </c>
      <c r="N92" s="18">
        <v>59208</v>
      </c>
    </row>
    <row r="93" spans="1:14" x14ac:dyDescent="0.25">
      <c r="G93" s="18"/>
      <c r="J93" s="5"/>
      <c r="L93" t="s">
        <v>1381</v>
      </c>
      <c r="M93" s="140">
        <f>95753+20200+31300+16160+33830</f>
        <v>197243</v>
      </c>
      <c r="N93" s="18">
        <v>59208</v>
      </c>
    </row>
    <row r="94" spans="1:14" x14ac:dyDescent="0.25">
      <c r="G94" s="113"/>
      <c r="L94" t="s">
        <v>1384</v>
      </c>
      <c r="M94" s="140">
        <f>470047+328600+20200+16160+35552+150155</f>
        <v>1020714</v>
      </c>
      <c r="N94" s="18">
        <v>67661</v>
      </c>
    </row>
    <row r="95" spans="1:14" x14ac:dyDescent="0.25">
      <c r="A95" t="s">
        <v>1380</v>
      </c>
      <c r="D95" s="18">
        <v>4970884</v>
      </c>
      <c r="E95" s="18">
        <f>2303491+1860557</f>
        <v>4164048</v>
      </c>
      <c r="F95" s="18">
        <v>3587388</v>
      </c>
      <c r="G95" s="18">
        <f>J95-I95-H95-F95-E95-D95</f>
        <v>-1248212</v>
      </c>
      <c r="H95" s="18">
        <v>312160</v>
      </c>
      <c r="I95" s="18">
        <f>1460000+1700000+53732</f>
        <v>3213732</v>
      </c>
      <c r="J95" s="18">
        <v>15000000</v>
      </c>
      <c r="L95" t="s">
        <v>1382</v>
      </c>
      <c r="M95" s="140">
        <f>16160+20200+83325</f>
        <v>119685</v>
      </c>
      <c r="N95" s="18">
        <v>62105</v>
      </c>
    </row>
    <row r="96" spans="1:14" x14ac:dyDescent="0.25">
      <c r="G96" s="5"/>
      <c r="L96" t="s">
        <v>1383</v>
      </c>
      <c r="M96" s="140">
        <f>235080+20200+31300+16160+20200+28275</f>
        <v>351215</v>
      </c>
      <c r="N96" s="18">
        <v>20200</v>
      </c>
    </row>
    <row r="97" spans="1:14" x14ac:dyDescent="0.25">
      <c r="A97" t="s">
        <v>1387</v>
      </c>
      <c r="E97" s="18">
        <v>2303491</v>
      </c>
      <c r="L97" t="s">
        <v>1386</v>
      </c>
      <c r="M97" s="145">
        <v>171700</v>
      </c>
      <c r="N97" s="18">
        <v>80480</v>
      </c>
    </row>
    <row r="98" spans="1:14" x14ac:dyDescent="0.25">
      <c r="A98" t="s">
        <v>462</v>
      </c>
      <c r="E98" s="18">
        <v>312160</v>
      </c>
      <c r="G98" s="5"/>
      <c r="L98" t="s">
        <v>1407</v>
      </c>
      <c r="M98" s="145">
        <f>31300+20200+16160</f>
        <v>67660</v>
      </c>
      <c r="N98" s="18">
        <v>149965</v>
      </c>
    </row>
    <row r="99" spans="1:14" ht="15.75" thickBot="1" x14ac:dyDescent="0.3">
      <c r="L99" t="s">
        <v>1424</v>
      </c>
      <c r="M99" s="145">
        <f>33830+16160+268475+75024+56480</f>
        <v>449969</v>
      </c>
      <c r="N99" s="18">
        <v>70190</v>
      </c>
    </row>
    <row r="100" spans="1:14" ht="15.75" thickBot="1" x14ac:dyDescent="0.3">
      <c r="A100" s="1103" t="s">
        <v>343</v>
      </c>
      <c r="B100" s="305" t="s">
        <v>346</v>
      </c>
      <c r="C100" s="305" t="s">
        <v>1471</v>
      </c>
      <c r="D100" s="305" t="s">
        <v>1473</v>
      </c>
      <c r="E100" s="305" t="s">
        <v>338</v>
      </c>
      <c r="F100" s="305" t="s">
        <v>339</v>
      </c>
      <c r="G100" s="305" t="s">
        <v>342</v>
      </c>
      <c r="H100" s="305" t="s">
        <v>462</v>
      </c>
      <c r="I100" s="305" t="s">
        <v>1333</v>
      </c>
      <c r="J100" s="306" t="s">
        <v>25</v>
      </c>
      <c r="L100" t="s">
        <v>1425</v>
      </c>
      <c r="M100" s="140">
        <f>16160+20200+20200+70296</f>
        <v>126856</v>
      </c>
      <c r="N100" s="18">
        <v>90390</v>
      </c>
    </row>
    <row r="101" spans="1:14" x14ac:dyDescent="0.25">
      <c r="A101" s="4" t="s">
        <v>1470</v>
      </c>
      <c r="B101" s="4" t="s">
        <v>1472</v>
      </c>
      <c r="C101" s="3"/>
      <c r="D101" s="3">
        <v>5693218</v>
      </c>
      <c r="E101" s="3">
        <v>3189798</v>
      </c>
      <c r="F101" s="3">
        <v>3372383</v>
      </c>
      <c r="G101" s="3">
        <f>J101-I101-H101-F101-E101-D101</f>
        <v>732441</v>
      </c>
      <c r="H101" s="3">
        <v>312160</v>
      </c>
      <c r="I101" s="3">
        <f>1700000</f>
        <v>1700000</v>
      </c>
      <c r="J101" s="3">
        <v>15000000</v>
      </c>
      <c r="L101" t="s">
        <v>1433</v>
      </c>
      <c r="M101" s="145">
        <f>20200+28275+16160+33830+37876+113625</f>
        <v>249966</v>
      </c>
      <c r="N101" s="18">
        <v>45408</v>
      </c>
    </row>
    <row r="102" spans="1:14" x14ac:dyDescent="0.25">
      <c r="G102">
        <v>250000</v>
      </c>
      <c r="L102" t="s">
        <v>1443</v>
      </c>
      <c r="M102" s="18">
        <f>20200+20200+31300+33830+16160</f>
        <v>121690</v>
      </c>
      <c r="N102" s="18">
        <v>109565</v>
      </c>
    </row>
    <row r="103" spans="1:14" x14ac:dyDescent="0.25">
      <c r="G103" s="5">
        <f>G101-G102</f>
        <v>482441</v>
      </c>
      <c r="L103" t="s">
        <v>1451</v>
      </c>
      <c r="M103" s="18">
        <v>20200</v>
      </c>
      <c r="N103" s="18">
        <v>103000</v>
      </c>
    </row>
    <row r="104" spans="1:14" x14ac:dyDescent="0.25">
      <c r="L104" t="s">
        <v>1457</v>
      </c>
      <c r="M104" s="18">
        <f>292900</f>
        <v>292900</v>
      </c>
      <c r="N104" s="18">
        <v>98465</v>
      </c>
    </row>
    <row r="105" spans="1:14" x14ac:dyDescent="0.25">
      <c r="N105" s="18">
        <v>48475</v>
      </c>
    </row>
    <row r="106" spans="1:14" x14ac:dyDescent="0.25">
      <c r="N106" s="18">
        <v>463608</v>
      </c>
    </row>
    <row r="107" spans="1:14" x14ac:dyDescent="0.25">
      <c r="N107" s="18">
        <v>36360</v>
      </c>
    </row>
    <row r="108" spans="1:14" x14ac:dyDescent="0.25">
      <c r="N108" s="18">
        <v>45408</v>
      </c>
    </row>
    <row r="109" spans="1:14" x14ac:dyDescent="0.25">
      <c r="M109" s="5">
        <f>SUM(M93:M108)</f>
        <v>3189798</v>
      </c>
      <c r="N109" s="18">
        <f>SUM(N91:N108)</f>
        <v>1697556</v>
      </c>
    </row>
  </sheetData>
  <mergeCells count="2">
    <mergeCell ref="A4:J4"/>
    <mergeCell ref="A69:H6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5BC27-55A0-4627-AB93-CED7B7A0C252}">
  <dimension ref="A3:R83"/>
  <sheetViews>
    <sheetView workbookViewId="0">
      <selection activeCell="J7" sqref="J7:J8"/>
    </sheetView>
  </sheetViews>
  <sheetFormatPr defaultRowHeight="15" x14ac:dyDescent="0.25"/>
  <cols>
    <col min="1" max="1" width="3" customWidth="1"/>
    <col min="2" max="2" width="11.7109375" customWidth="1"/>
    <col min="3" max="3" width="9.7109375" customWidth="1"/>
    <col min="4" max="4" width="11.7109375" customWidth="1"/>
    <col min="5" max="5" width="12.85546875" customWidth="1"/>
    <col min="6" max="7" width="12.28515625" customWidth="1"/>
    <col min="8" max="8" width="11.85546875" customWidth="1"/>
    <col min="9" max="9" width="11.7109375" customWidth="1"/>
    <col min="10" max="10" width="12.140625" customWidth="1"/>
    <col min="11" max="11" width="14" customWidth="1"/>
    <col min="12" max="12" width="12.42578125" customWidth="1"/>
    <col min="13" max="13" width="10.85546875" customWidth="1"/>
    <col min="14" max="14" width="11.28515625" customWidth="1"/>
    <col min="15" max="15" width="12" customWidth="1"/>
    <col min="16" max="16" width="14" customWidth="1"/>
    <col min="17" max="17" width="12.5703125" customWidth="1"/>
    <col min="18" max="18" width="12.28515625" customWidth="1"/>
  </cols>
  <sheetData>
    <row r="3" spans="1:18" ht="15.75" thickBot="1" x14ac:dyDescent="0.3"/>
    <row r="4" spans="1:18" ht="19.5" thickBot="1" x14ac:dyDescent="0.35">
      <c r="A4" s="350" t="s">
        <v>505</v>
      </c>
      <c r="B4" s="351"/>
      <c r="C4" s="352"/>
      <c r="D4" s="350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2"/>
    </row>
    <row r="5" spans="1:18" ht="15.75" thickBot="1" x14ac:dyDescent="0.3">
      <c r="A5" s="288"/>
      <c r="B5" s="288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</row>
    <row r="6" spans="1:18" ht="16.5" thickBot="1" x14ac:dyDescent="0.3">
      <c r="A6" s="1202" t="s">
        <v>1388</v>
      </c>
      <c r="B6" s="1203"/>
      <c r="C6" s="1203"/>
      <c r="D6" s="1203"/>
      <c r="E6" s="1203"/>
      <c r="F6" s="1203"/>
      <c r="G6" s="1203"/>
      <c r="H6" s="1203"/>
      <c r="I6" s="1203"/>
      <c r="J6" s="1203"/>
      <c r="K6" s="1203"/>
      <c r="L6" s="1203"/>
      <c r="M6" s="1203"/>
      <c r="N6" s="1203"/>
      <c r="O6" s="1203"/>
      <c r="P6" s="1203"/>
      <c r="Q6" s="1203"/>
      <c r="R6" s="1204"/>
    </row>
    <row r="7" spans="1:18" ht="15.75" thickBot="1" x14ac:dyDescent="0.3">
      <c r="B7" s="1206" t="s">
        <v>0</v>
      </c>
      <c r="C7" s="1191" t="s">
        <v>1</v>
      </c>
      <c r="D7" s="1208" t="s">
        <v>2</v>
      </c>
      <c r="E7" s="1209"/>
      <c r="F7" s="1209"/>
      <c r="G7" s="1210"/>
      <c r="H7" s="1191" t="s">
        <v>3</v>
      </c>
      <c r="I7" s="1191" t="s">
        <v>4</v>
      </c>
      <c r="J7" s="1191" t="s">
        <v>5</v>
      </c>
      <c r="K7" s="1189" t="s">
        <v>6</v>
      </c>
      <c r="L7" s="1189" t="s">
        <v>7</v>
      </c>
      <c r="M7" s="1189" t="s">
        <v>8</v>
      </c>
      <c r="N7" s="1189" t="s">
        <v>9</v>
      </c>
      <c r="O7" s="1189" t="s">
        <v>10</v>
      </c>
      <c r="P7" s="1189" t="s">
        <v>386</v>
      </c>
      <c r="Q7" s="739" t="s">
        <v>11</v>
      </c>
      <c r="R7" s="1200" t="s">
        <v>387</v>
      </c>
    </row>
    <row r="8" spans="1:18" ht="15.75" thickBot="1" x14ac:dyDescent="0.3">
      <c r="B8" s="1190"/>
      <c r="C8" s="1215"/>
      <c r="D8" s="676" t="s">
        <v>13</v>
      </c>
      <c r="E8" s="677" t="s">
        <v>14</v>
      </c>
      <c r="F8" s="676" t="s">
        <v>15</v>
      </c>
      <c r="G8" s="676" t="s">
        <v>16</v>
      </c>
      <c r="H8" s="1215"/>
      <c r="I8" s="1215"/>
      <c r="J8" s="1215"/>
      <c r="K8" s="1213"/>
      <c r="L8" s="1213"/>
      <c r="M8" s="1213"/>
      <c r="N8" s="1213"/>
      <c r="O8" s="1213"/>
      <c r="P8" s="1213"/>
      <c r="Q8" s="1020">
        <v>0.3</v>
      </c>
      <c r="R8" s="1201"/>
    </row>
    <row r="9" spans="1:18" x14ac:dyDescent="0.25">
      <c r="B9" s="190">
        <v>46174</v>
      </c>
      <c r="C9" s="504"/>
      <c r="D9" s="159"/>
      <c r="E9" s="159"/>
      <c r="F9" s="159"/>
      <c r="G9" s="160"/>
      <c r="H9" s="160">
        <f>+D9+E9+F9+G9</f>
        <v>0</v>
      </c>
      <c r="I9" s="148"/>
      <c r="J9" s="160">
        <f>+H9-I9</f>
        <v>0</v>
      </c>
      <c r="K9" s="160">
        <f>+I9+J9</f>
        <v>0</v>
      </c>
      <c r="L9" s="159"/>
      <c r="M9" s="160"/>
      <c r="N9" s="160"/>
      <c r="O9" s="160">
        <f>+K9-L9-M9-N9</f>
        <v>0</v>
      </c>
      <c r="P9" s="159"/>
      <c r="Q9" s="160">
        <f>O9*30%</f>
        <v>0</v>
      </c>
      <c r="R9" s="1016">
        <f>Q9-P9</f>
        <v>0</v>
      </c>
    </row>
    <row r="10" spans="1:18" x14ac:dyDescent="0.25">
      <c r="B10" s="190">
        <v>46175</v>
      </c>
      <c r="C10" s="504"/>
      <c r="D10" s="159"/>
      <c r="E10" s="159"/>
      <c r="F10" s="159"/>
      <c r="G10" s="160"/>
      <c r="H10" s="160">
        <f>+D10+E10+F10+G10</f>
        <v>0</v>
      </c>
      <c r="I10" s="148"/>
      <c r="J10" s="160">
        <f>+H10-I10</f>
        <v>0</v>
      </c>
      <c r="K10" s="160">
        <f>+I10+J10</f>
        <v>0</v>
      </c>
      <c r="L10" s="159"/>
      <c r="M10" s="160"/>
      <c r="N10" s="160"/>
      <c r="O10" s="160">
        <f>+K10-L10-M10-N10</f>
        <v>0</v>
      </c>
      <c r="P10" s="159"/>
      <c r="Q10" s="160">
        <f>O10*30%</f>
        <v>0</v>
      </c>
      <c r="R10" s="1016">
        <f>Q10-P10</f>
        <v>0</v>
      </c>
    </row>
    <row r="11" spans="1:18" x14ac:dyDescent="0.25">
      <c r="B11" s="190">
        <v>46176</v>
      </c>
      <c r="C11" s="504"/>
      <c r="D11" s="159"/>
      <c r="E11" s="160"/>
      <c r="F11" s="160"/>
      <c r="G11" s="160"/>
      <c r="H11" s="160">
        <f t="shared" ref="H11:H39" si="0">+D11+E11+F11+G11</f>
        <v>0</v>
      </c>
      <c r="I11" s="148"/>
      <c r="J11" s="160">
        <f t="shared" ref="J11:J12" si="1">+H11-I11</f>
        <v>0</v>
      </c>
      <c r="K11" s="160">
        <f t="shared" ref="K11:K39" si="2">+I11+J11</f>
        <v>0</v>
      </c>
      <c r="L11" s="159"/>
      <c r="M11" s="160"/>
      <c r="N11" s="160"/>
      <c r="O11" s="160">
        <f t="shared" ref="O11:O39" si="3">+K11-L11-M11-N11</f>
        <v>0</v>
      </c>
      <c r="P11" s="159"/>
      <c r="Q11" s="160">
        <f t="shared" ref="Q11:Q39" si="4">O11*30%</f>
        <v>0</v>
      </c>
      <c r="R11" s="1017">
        <f t="shared" ref="R11:R39" si="5">Q11-P11</f>
        <v>0</v>
      </c>
    </row>
    <row r="12" spans="1:18" x14ac:dyDescent="0.25">
      <c r="B12" s="190">
        <v>46177</v>
      </c>
      <c r="C12" s="504"/>
      <c r="D12" s="159"/>
      <c r="E12" s="159"/>
      <c r="F12" s="159"/>
      <c r="G12" s="160"/>
      <c r="H12" s="160">
        <f t="shared" si="0"/>
        <v>0</v>
      </c>
      <c r="I12" s="148"/>
      <c r="J12" s="160">
        <f t="shared" si="1"/>
        <v>0</v>
      </c>
      <c r="K12" s="160">
        <f t="shared" si="2"/>
        <v>0</v>
      </c>
      <c r="L12" s="159"/>
      <c r="M12" s="160"/>
      <c r="N12" s="159"/>
      <c r="O12" s="160">
        <f t="shared" si="3"/>
        <v>0</v>
      </c>
      <c r="P12" s="159"/>
      <c r="Q12" s="160">
        <f t="shared" si="4"/>
        <v>0</v>
      </c>
      <c r="R12" s="1017">
        <f t="shared" si="5"/>
        <v>0</v>
      </c>
    </row>
    <row r="13" spans="1:18" x14ac:dyDescent="0.25">
      <c r="B13" s="190">
        <v>46178</v>
      </c>
      <c r="C13" s="504"/>
      <c r="D13" s="159"/>
      <c r="E13" s="615"/>
      <c r="F13" s="159"/>
      <c r="G13" s="160"/>
      <c r="H13" s="160">
        <f t="shared" si="0"/>
        <v>0</v>
      </c>
      <c r="I13" s="148"/>
      <c r="J13" s="160">
        <f>+H13-I13</f>
        <v>0</v>
      </c>
      <c r="K13" s="160">
        <f t="shared" si="2"/>
        <v>0</v>
      </c>
      <c r="L13" s="159"/>
      <c r="M13" s="160"/>
      <c r="N13" s="159"/>
      <c r="O13" s="160">
        <f t="shared" si="3"/>
        <v>0</v>
      </c>
      <c r="P13" s="159"/>
      <c r="Q13" s="160">
        <f t="shared" si="4"/>
        <v>0</v>
      </c>
      <c r="R13" s="1017">
        <f t="shared" si="5"/>
        <v>0</v>
      </c>
    </row>
    <row r="14" spans="1:18" x14ac:dyDescent="0.25">
      <c r="B14" s="190">
        <v>46179</v>
      </c>
      <c r="C14" s="504"/>
      <c r="D14" s="159"/>
      <c r="E14" s="160"/>
      <c r="F14" s="159"/>
      <c r="G14" s="160"/>
      <c r="H14" s="160">
        <f t="shared" si="0"/>
        <v>0</v>
      </c>
      <c r="I14" s="148"/>
      <c r="J14" s="160">
        <f>+H14-I14</f>
        <v>0</v>
      </c>
      <c r="K14" s="160">
        <f t="shared" si="2"/>
        <v>0</v>
      </c>
      <c r="L14" s="159"/>
      <c r="M14" s="160"/>
      <c r="N14" s="160"/>
      <c r="O14" s="160">
        <f t="shared" si="3"/>
        <v>0</v>
      </c>
      <c r="P14" s="159"/>
      <c r="Q14" s="160">
        <f t="shared" si="4"/>
        <v>0</v>
      </c>
      <c r="R14" s="1017">
        <f t="shared" si="5"/>
        <v>0</v>
      </c>
    </row>
    <row r="15" spans="1:18" x14ac:dyDescent="0.25">
      <c r="B15" s="190">
        <v>46180</v>
      </c>
      <c r="C15" s="504"/>
      <c r="D15" s="159"/>
      <c r="E15" s="160"/>
      <c r="F15" s="160"/>
      <c r="G15" s="160"/>
      <c r="H15" s="160">
        <f t="shared" si="0"/>
        <v>0</v>
      </c>
      <c r="I15" s="148"/>
      <c r="J15" s="160">
        <f>+H15-I15</f>
        <v>0</v>
      </c>
      <c r="K15" s="160">
        <f t="shared" si="2"/>
        <v>0</v>
      </c>
      <c r="L15" s="159"/>
      <c r="M15" s="160"/>
      <c r="N15" s="160"/>
      <c r="O15" s="160">
        <f t="shared" si="3"/>
        <v>0</v>
      </c>
      <c r="P15" s="159"/>
      <c r="Q15" s="160">
        <f t="shared" si="4"/>
        <v>0</v>
      </c>
      <c r="R15" s="1017">
        <f t="shared" si="5"/>
        <v>0</v>
      </c>
    </row>
    <row r="16" spans="1:18" x14ac:dyDescent="0.25">
      <c r="B16" s="190">
        <v>46181</v>
      </c>
      <c r="C16" s="504"/>
      <c r="D16" s="159"/>
      <c r="E16" s="160"/>
      <c r="F16" s="159"/>
      <c r="G16" s="160"/>
      <c r="H16" s="160">
        <f t="shared" si="0"/>
        <v>0</v>
      </c>
      <c r="I16" s="148"/>
      <c r="J16" s="160">
        <f>+H16-I16</f>
        <v>0</v>
      </c>
      <c r="K16" s="160">
        <f t="shared" si="2"/>
        <v>0</v>
      </c>
      <c r="L16" s="159"/>
      <c r="M16" s="160"/>
      <c r="N16" s="159"/>
      <c r="O16" s="160">
        <f t="shared" si="3"/>
        <v>0</v>
      </c>
      <c r="P16" s="159"/>
      <c r="Q16" s="160">
        <f t="shared" si="4"/>
        <v>0</v>
      </c>
      <c r="R16" s="1017">
        <f t="shared" si="5"/>
        <v>0</v>
      </c>
    </row>
    <row r="17" spans="2:18" x14ac:dyDescent="0.25">
      <c r="B17" s="190">
        <v>46182</v>
      </c>
      <c r="C17" s="504"/>
      <c r="D17" s="159"/>
      <c r="E17" s="159"/>
      <c r="F17" s="160"/>
      <c r="G17" s="160"/>
      <c r="H17" s="160">
        <f t="shared" si="0"/>
        <v>0</v>
      </c>
      <c r="I17" s="148"/>
      <c r="J17" s="160">
        <f>+H17-I17</f>
        <v>0</v>
      </c>
      <c r="K17" s="160">
        <f t="shared" si="2"/>
        <v>0</v>
      </c>
      <c r="L17" s="159"/>
      <c r="M17" s="160"/>
      <c r="N17" s="160"/>
      <c r="O17" s="160">
        <f t="shared" si="3"/>
        <v>0</v>
      </c>
      <c r="P17" s="159"/>
      <c r="Q17" s="160">
        <f t="shared" si="4"/>
        <v>0</v>
      </c>
      <c r="R17" s="1017">
        <f t="shared" si="5"/>
        <v>0</v>
      </c>
    </row>
    <row r="18" spans="2:18" x14ac:dyDescent="0.25">
      <c r="B18" s="190">
        <v>46183</v>
      </c>
      <c r="C18" s="504"/>
      <c r="D18" s="160"/>
      <c r="E18" s="160"/>
      <c r="F18" s="160"/>
      <c r="G18" s="160"/>
      <c r="H18" s="160">
        <f t="shared" si="0"/>
        <v>0</v>
      </c>
      <c r="I18" s="227"/>
      <c r="J18" s="160">
        <f t="shared" ref="J18:J39" si="6">+H18-I18</f>
        <v>0</v>
      </c>
      <c r="K18" s="160">
        <f t="shared" si="2"/>
        <v>0</v>
      </c>
      <c r="L18" s="160"/>
      <c r="M18" s="160"/>
      <c r="N18" s="160"/>
      <c r="O18" s="160">
        <f t="shared" si="3"/>
        <v>0</v>
      </c>
      <c r="P18" s="160"/>
      <c r="Q18" s="160">
        <f t="shared" si="4"/>
        <v>0</v>
      </c>
      <c r="R18" s="1017">
        <f t="shared" si="5"/>
        <v>0</v>
      </c>
    </row>
    <row r="19" spans="2:18" x14ac:dyDescent="0.25">
      <c r="B19" s="190">
        <v>46184</v>
      </c>
      <c r="C19" s="504"/>
      <c r="D19" s="159"/>
      <c r="E19" s="159"/>
      <c r="F19" s="159"/>
      <c r="G19" s="159"/>
      <c r="H19" s="160">
        <f t="shared" si="0"/>
        <v>0</v>
      </c>
      <c r="I19" s="148"/>
      <c r="J19" s="160">
        <f t="shared" si="6"/>
        <v>0</v>
      </c>
      <c r="K19" s="160">
        <f t="shared" si="2"/>
        <v>0</v>
      </c>
      <c r="L19" s="159"/>
      <c r="M19" s="160"/>
      <c r="N19" s="159"/>
      <c r="O19" s="160">
        <f t="shared" si="3"/>
        <v>0</v>
      </c>
      <c r="P19" s="159"/>
      <c r="Q19" s="160">
        <f t="shared" si="4"/>
        <v>0</v>
      </c>
      <c r="R19" s="1017">
        <f t="shared" si="5"/>
        <v>0</v>
      </c>
    </row>
    <row r="20" spans="2:18" x14ac:dyDescent="0.25">
      <c r="B20" s="190">
        <v>46185</v>
      </c>
      <c r="C20" s="1021"/>
      <c r="D20" s="159"/>
      <c r="E20" s="160"/>
      <c r="F20" s="159"/>
      <c r="G20" s="159"/>
      <c r="H20" s="160">
        <f t="shared" si="0"/>
        <v>0</v>
      </c>
      <c r="I20" s="148"/>
      <c r="J20" s="160">
        <f t="shared" si="6"/>
        <v>0</v>
      </c>
      <c r="K20" s="160">
        <f t="shared" si="2"/>
        <v>0</v>
      </c>
      <c r="L20" s="159"/>
      <c r="M20" s="160"/>
      <c r="N20" s="160"/>
      <c r="O20" s="160">
        <f t="shared" si="3"/>
        <v>0</v>
      </c>
      <c r="P20" s="159"/>
      <c r="Q20" s="160">
        <f t="shared" si="4"/>
        <v>0</v>
      </c>
      <c r="R20" s="1018">
        <f t="shared" si="5"/>
        <v>0</v>
      </c>
    </row>
    <row r="21" spans="2:18" x14ac:dyDescent="0.25">
      <c r="B21" s="190">
        <v>46186</v>
      </c>
      <c r="C21" s="160"/>
      <c r="D21" s="159"/>
      <c r="E21" s="160"/>
      <c r="F21" s="159"/>
      <c r="G21" s="160"/>
      <c r="H21" s="160">
        <f t="shared" si="0"/>
        <v>0</v>
      </c>
      <c r="I21" s="148"/>
      <c r="J21" s="160">
        <f t="shared" si="6"/>
        <v>0</v>
      </c>
      <c r="K21" s="160">
        <f t="shared" si="2"/>
        <v>0</v>
      </c>
      <c r="L21" s="159"/>
      <c r="M21" s="160"/>
      <c r="N21" s="160"/>
      <c r="O21" s="160">
        <f t="shared" si="3"/>
        <v>0</v>
      </c>
      <c r="P21" s="159"/>
      <c r="Q21" s="160">
        <f t="shared" si="4"/>
        <v>0</v>
      </c>
      <c r="R21" s="1017">
        <f t="shared" si="5"/>
        <v>0</v>
      </c>
    </row>
    <row r="22" spans="2:18" x14ac:dyDescent="0.25">
      <c r="B22" s="190">
        <v>46187</v>
      </c>
      <c r="C22" s="160"/>
      <c r="D22" s="159"/>
      <c r="E22" s="159"/>
      <c r="F22" s="160"/>
      <c r="G22" s="159"/>
      <c r="H22" s="160">
        <f t="shared" si="0"/>
        <v>0</v>
      </c>
      <c r="I22" s="148"/>
      <c r="J22" s="160">
        <f t="shared" si="6"/>
        <v>0</v>
      </c>
      <c r="K22" s="160">
        <f t="shared" si="2"/>
        <v>0</v>
      </c>
      <c r="L22" s="159"/>
      <c r="M22" s="160"/>
      <c r="N22" s="159"/>
      <c r="O22" s="160">
        <f t="shared" si="3"/>
        <v>0</v>
      </c>
      <c r="P22" s="159"/>
      <c r="Q22" s="160">
        <f t="shared" si="4"/>
        <v>0</v>
      </c>
      <c r="R22" s="1017">
        <f t="shared" si="5"/>
        <v>0</v>
      </c>
    </row>
    <row r="23" spans="2:18" x14ac:dyDescent="0.25">
      <c r="B23" s="190">
        <v>46188</v>
      </c>
      <c r="C23" s="160"/>
      <c r="D23" s="159"/>
      <c r="E23" s="159"/>
      <c r="F23" s="160"/>
      <c r="G23" s="160"/>
      <c r="H23" s="160">
        <f t="shared" si="0"/>
        <v>0</v>
      </c>
      <c r="I23" s="148"/>
      <c r="J23" s="160">
        <f t="shared" si="6"/>
        <v>0</v>
      </c>
      <c r="K23" s="160">
        <f t="shared" si="2"/>
        <v>0</v>
      </c>
      <c r="L23" s="159"/>
      <c r="M23" s="160"/>
      <c r="N23" s="159"/>
      <c r="O23" s="160">
        <f t="shared" si="3"/>
        <v>0</v>
      </c>
      <c r="P23" s="159"/>
      <c r="Q23" s="160">
        <f t="shared" si="4"/>
        <v>0</v>
      </c>
      <c r="R23" s="1017">
        <f t="shared" si="5"/>
        <v>0</v>
      </c>
    </row>
    <row r="24" spans="2:18" x14ac:dyDescent="0.25">
      <c r="B24" s="190">
        <v>46189</v>
      </c>
      <c r="C24" s="160"/>
      <c r="D24" s="159"/>
      <c r="E24" s="160"/>
      <c r="F24" s="160"/>
      <c r="G24" s="160"/>
      <c r="H24" s="160">
        <f t="shared" si="0"/>
        <v>0</v>
      </c>
      <c r="I24" s="148"/>
      <c r="J24" s="160">
        <f t="shared" si="6"/>
        <v>0</v>
      </c>
      <c r="K24" s="160">
        <f t="shared" si="2"/>
        <v>0</v>
      </c>
      <c r="L24" s="159"/>
      <c r="M24" s="160"/>
      <c r="N24" s="159"/>
      <c r="O24" s="160">
        <f t="shared" si="3"/>
        <v>0</v>
      </c>
      <c r="P24" s="159"/>
      <c r="Q24" s="160">
        <f t="shared" si="4"/>
        <v>0</v>
      </c>
      <c r="R24" s="1017">
        <f t="shared" si="5"/>
        <v>0</v>
      </c>
    </row>
    <row r="25" spans="2:18" x14ac:dyDescent="0.25">
      <c r="B25" s="190">
        <v>46190</v>
      </c>
      <c r="C25" s="160"/>
      <c r="D25" s="159"/>
      <c r="E25" s="160"/>
      <c r="F25" s="160"/>
      <c r="G25" s="160"/>
      <c r="H25" s="160">
        <f t="shared" si="0"/>
        <v>0</v>
      </c>
      <c r="I25" s="148"/>
      <c r="J25" s="160">
        <f t="shared" si="6"/>
        <v>0</v>
      </c>
      <c r="K25" s="160">
        <f t="shared" si="2"/>
        <v>0</v>
      </c>
      <c r="L25" s="159"/>
      <c r="M25" s="160"/>
      <c r="N25" s="160"/>
      <c r="O25" s="160">
        <f t="shared" si="3"/>
        <v>0</v>
      </c>
      <c r="P25" s="159"/>
      <c r="Q25" s="160">
        <f t="shared" si="4"/>
        <v>0</v>
      </c>
      <c r="R25" s="1017">
        <f t="shared" si="5"/>
        <v>0</v>
      </c>
    </row>
    <row r="26" spans="2:18" x14ac:dyDescent="0.25">
      <c r="B26" s="190">
        <v>46191</v>
      </c>
      <c r="C26" s="160"/>
      <c r="D26" s="159"/>
      <c r="E26" s="159"/>
      <c r="F26" s="159"/>
      <c r="G26" s="160"/>
      <c r="H26" s="160">
        <f t="shared" si="0"/>
        <v>0</v>
      </c>
      <c r="I26" s="148"/>
      <c r="J26" s="160">
        <f t="shared" si="6"/>
        <v>0</v>
      </c>
      <c r="K26" s="160">
        <f t="shared" si="2"/>
        <v>0</v>
      </c>
      <c r="L26" s="159"/>
      <c r="M26" s="160"/>
      <c r="N26" s="159"/>
      <c r="O26" s="160">
        <f t="shared" si="3"/>
        <v>0</v>
      </c>
      <c r="P26" s="159"/>
      <c r="Q26" s="160">
        <f t="shared" si="4"/>
        <v>0</v>
      </c>
      <c r="R26" s="1017">
        <f t="shared" si="5"/>
        <v>0</v>
      </c>
    </row>
    <row r="27" spans="2:18" x14ac:dyDescent="0.25">
      <c r="B27" s="190">
        <v>46192</v>
      </c>
      <c r="C27" s="160"/>
      <c r="D27" s="159"/>
      <c r="E27" s="159"/>
      <c r="F27" s="159"/>
      <c r="G27" s="159"/>
      <c r="H27" s="160">
        <f t="shared" si="0"/>
        <v>0</v>
      </c>
      <c r="I27" s="148"/>
      <c r="J27" s="160">
        <f t="shared" si="6"/>
        <v>0</v>
      </c>
      <c r="K27" s="160">
        <f t="shared" si="2"/>
        <v>0</v>
      </c>
      <c r="L27" s="159"/>
      <c r="M27" s="160"/>
      <c r="N27" s="160"/>
      <c r="O27" s="160">
        <f t="shared" si="3"/>
        <v>0</v>
      </c>
      <c r="P27" s="159"/>
      <c r="Q27" s="160">
        <f>O27*30%</f>
        <v>0</v>
      </c>
      <c r="R27" s="1017">
        <f t="shared" si="5"/>
        <v>0</v>
      </c>
    </row>
    <row r="28" spans="2:18" x14ac:dyDescent="0.25">
      <c r="B28" s="190">
        <v>46193</v>
      </c>
      <c r="C28" s="160"/>
      <c r="D28" s="159"/>
      <c r="E28" s="160"/>
      <c r="F28" s="159"/>
      <c r="G28" s="160"/>
      <c r="H28" s="160">
        <f t="shared" si="0"/>
        <v>0</v>
      </c>
      <c r="I28" s="148"/>
      <c r="J28" s="160">
        <f t="shared" si="6"/>
        <v>0</v>
      </c>
      <c r="K28" s="160">
        <f t="shared" si="2"/>
        <v>0</v>
      </c>
      <c r="L28" s="159"/>
      <c r="M28" s="160"/>
      <c r="N28" s="160"/>
      <c r="O28" s="160">
        <f t="shared" si="3"/>
        <v>0</v>
      </c>
      <c r="P28" s="159"/>
      <c r="Q28" s="160">
        <f t="shared" si="4"/>
        <v>0</v>
      </c>
      <c r="R28" s="1017">
        <f t="shared" si="5"/>
        <v>0</v>
      </c>
    </row>
    <row r="29" spans="2:18" x14ac:dyDescent="0.25">
      <c r="B29" s="190">
        <v>46194</v>
      </c>
      <c r="C29" s="160"/>
      <c r="D29" s="159"/>
      <c r="E29" s="159"/>
      <c r="F29" s="159"/>
      <c r="G29" s="160"/>
      <c r="H29" s="160">
        <f t="shared" si="0"/>
        <v>0</v>
      </c>
      <c r="I29" s="148"/>
      <c r="J29" s="160">
        <f t="shared" si="6"/>
        <v>0</v>
      </c>
      <c r="K29" s="160">
        <f t="shared" si="2"/>
        <v>0</v>
      </c>
      <c r="L29" s="159"/>
      <c r="M29" s="160"/>
      <c r="N29" s="160"/>
      <c r="O29" s="160">
        <f t="shared" si="3"/>
        <v>0</v>
      </c>
      <c r="P29" s="159"/>
      <c r="Q29" s="160">
        <f t="shared" si="4"/>
        <v>0</v>
      </c>
      <c r="R29" s="1017">
        <f t="shared" si="5"/>
        <v>0</v>
      </c>
    </row>
    <row r="30" spans="2:18" x14ac:dyDescent="0.25">
      <c r="B30" s="190">
        <v>46195</v>
      </c>
      <c r="C30" s="160"/>
      <c r="D30" s="159"/>
      <c r="E30" s="159"/>
      <c r="F30" s="159"/>
      <c r="G30" s="160"/>
      <c r="H30" s="160">
        <f>+D30+E30+F30+G30</f>
        <v>0</v>
      </c>
      <c r="I30" s="148"/>
      <c r="J30" s="160">
        <f t="shared" si="6"/>
        <v>0</v>
      </c>
      <c r="K30" s="160">
        <f t="shared" si="2"/>
        <v>0</v>
      </c>
      <c r="L30" s="159"/>
      <c r="M30" s="160"/>
      <c r="N30" s="159"/>
      <c r="O30" s="160">
        <f t="shared" si="3"/>
        <v>0</v>
      </c>
      <c r="P30" s="159"/>
      <c r="Q30" s="160">
        <f t="shared" si="4"/>
        <v>0</v>
      </c>
      <c r="R30" s="1017">
        <f t="shared" si="5"/>
        <v>0</v>
      </c>
    </row>
    <row r="31" spans="2:18" x14ac:dyDescent="0.25">
      <c r="B31" s="190">
        <v>46196</v>
      </c>
      <c r="C31" s="160"/>
      <c r="D31" s="159"/>
      <c r="E31" s="159"/>
      <c r="F31" s="160"/>
      <c r="G31" s="159"/>
      <c r="H31" s="160">
        <f t="shared" si="0"/>
        <v>0</v>
      </c>
      <c r="I31" s="148"/>
      <c r="J31" s="160">
        <f t="shared" si="6"/>
        <v>0</v>
      </c>
      <c r="K31" s="160">
        <f t="shared" si="2"/>
        <v>0</v>
      </c>
      <c r="L31" s="159"/>
      <c r="M31" s="160"/>
      <c r="N31" s="159"/>
      <c r="O31" s="160">
        <f t="shared" si="3"/>
        <v>0</v>
      </c>
      <c r="P31" s="159"/>
      <c r="Q31" s="160">
        <f t="shared" si="4"/>
        <v>0</v>
      </c>
      <c r="R31" s="1017">
        <f t="shared" si="5"/>
        <v>0</v>
      </c>
    </row>
    <row r="32" spans="2:18" x14ac:dyDescent="0.25">
      <c r="B32" s="190">
        <v>46197</v>
      </c>
      <c r="C32" s="1021"/>
      <c r="D32" s="1021"/>
      <c r="E32" s="1021"/>
      <c r="F32" s="1021"/>
      <c r="G32" s="1021"/>
      <c r="H32" s="1021"/>
      <c r="I32" s="1023"/>
      <c r="J32" s="1021"/>
      <c r="K32" s="1021"/>
      <c r="L32" s="1021"/>
      <c r="M32" s="1021"/>
      <c r="N32" s="1021"/>
      <c r="O32" s="1021"/>
      <c r="P32" s="1021"/>
      <c r="Q32" s="1021"/>
    </row>
    <row r="33" spans="2:18" x14ac:dyDescent="0.25">
      <c r="B33" s="190">
        <v>46198</v>
      </c>
      <c r="C33" s="160"/>
      <c r="D33" s="159"/>
      <c r="E33" s="159"/>
      <c r="F33" s="159"/>
      <c r="G33" s="159"/>
      <c r="H33" s="160">
        <f>+D33+E33+F33+G33</f>
        <v>0</v>
      </c>
      <c r="I33" s="148"/>
      <c r="J33" s="160">
        <f>+H33-I33</f>
        <v>0</v>
      </c>
      <c r="K33" s="160">
        <f>+I33+J33</f>
        <v>0</v>
      </c>
      <c r="L33" s="159"/>
      <c r="M33" s="160"/>
      <c r="N33" s="159"/>
      <c r="O33" s="160">
        <f>+K33-L33-M33-N33</f>
        <v>0</v>
      </c>
      <c r="P33" s="159"/>
      <c r="Q33" s="160">
        <f>O33*30%</f>
        <v>0</v>
      </c>
      <c r="R33" s="1017">
        <f>Q33-P33</f>
        <v>0</v>
      </c>
    </row>
    <row r="34" spans="2:18" x14ac:dyDescent="0.25">
      <c r="B34" s="190">
        <v>46199</v>
      </c>
      <c r="C34" s="160"/>
      <c r="D34" s="159"/>
      <c r="E34" s="159"/>
      <c r="F34" s="159"/>
      <c r="G34" s="160"/>
      <c r="H34" s="160">
        <f>+D34+E34+F34+G34</f>
        <v>0</v>
      </c>
      <c r="I34" s="148"/>
      <c r="J34" s="160">
        <f>+H34-I34</f>
        <v>0</v>
      </c>
      <c r="K34" s="160">
        <f>+I34+J34</f>
        <v>0</v>
      </c>
      <c r="L34" s="159"/>
      <c r="M34" s="160"/>
      <c r="N34" s="160"/>
      <c r="O34" s="160">
        <f>+K34-L34-M34-N34</f>
        <v>0</v>
      </c>
      <c r="P34" s="159"/>
      <c r="Q34" s="160">
        <f>O34*30%</f>
        <v>0</v>
      </c>
      <c r="R34" s="1017">
        <f>Q34-P34</f>
        <v>0</v>
      </c>
    </row>
    <row r="35" spans="2:18" x14ac:dyDescent="0.25">
      <c r="B35" s="190">
        <v>46200</v>
      </c>
      <c r="C35" s="160"/>
      <c r="D35" s="160"/>
      <c r="E35" s="160"/>
      <c r="F35" s="160"/>
      <c r="G35" s="160"/>
      <c r="H35" s="160">
        <f t="shared" si="0"/>
        <v>0</v>
      </c>
      <c r="I35" s="227"/>
      <c r="J35" s="160">
        <f t="shared" si="6"/>
        <v>0</v>
      </c>
      <c r="K35" s="160">
        <f t="shared" si="2"/>
        <v>0</v>
      </c>
      <c r="L35" s="160"/>
      <c r="M35" s="160"/>
      <c r="N35" s="160"/>
      <c r="O35" s="160">
        <f t="shared" si="3"/>
        <v>0</v>
      </c>
      <c r="P35" s="160"/>
      <c r="Q35" s="160">
        <f t="shared" si="4"/>
        <v>0</v>
      </c>
      <c r="R35" s="1017">
        <f t="shared" si="5"/>
        <v>0</v>
      </c>
    </row>
    <row r="36" spans="2:18" x14ac:dyDescent="0.25">
      <c r="B36" s="190">
        <v>46201</v>
      </c>
      <c r="C36" s="160"/>
      <c r="D36" s="159"/>
      <c r="E36" s="160"/>
      <c r="F36" s="160"/>
      <c r="G36" s="159"/>
      <c r="H36" s="160">
        <f t="shared" si="0"/>
        <v>0</v>
      </c>
      <c r="I36" s="148"/>
      <c r="J36" s="160">
        <f t="shared" si="6"/>
        <v>0</v>
      </c>
      <c r="K36" s="160">
        <f t="shared" si="2"/>
        <v>0</v>
      </c>
      <c r="L36" s="159"/>
      <c r="M36" s="160"/>
      <c r="N36" s="160"/>
      <c r="O36" s="160">
        <f t="shared" si="3"/>
        <v>0</v>
      </c>
      <c r="P36" s="159"/>
      <c r="Q36" s="160">
        <f t="shared" si="4"/>
        <v>0</v>
      </c>
      <c r="R36" s="1017">
        <f t="shared" si="5"/>
        <v>0</v>
      </c>
    </row>
    <row r="37" spans="2:18" x14ac:dyDescent="0.25">
      <c r="B37" s="190">
        <v>46202</v>
      </c>
      <c r="C37" s="160"/>
      <c r="D37" s="159"/>
      <c r="E37" s="160"/>
      <c r="F37" s="159"/>
      <c r="G37" s="615"/>
      <c r="H37" s="160">
        <f t="shared" si="0"/>
        <v>0</v>
      </c>
      <c r="I37" s="148"/>
      <c r="J37" s="160">
        <f t="shared" si="6"/>
        <v>0</v>
      </c>
      <c r="K37" s="160">
        <f t="shared" si="2"/>
        <v>0</v>
      </c>
      <c r="L37" s="159"/>
      <c r="M37" s="160"/>
      <c r="N37" s="160"/>
      <c r="O37" s="160">
        <f t="shared" si="3"/>
        <v>0</v>
      </c>
      <c r="P37" s="159"/>
      <c r="Q37" s="160">
        <f t="shared" si="4"/>
        <v>0</v>
      </c>
      <c r="R37" s="1017">
        <f t="shared" si="5"/>
        <v>0</v>
      </c>
    </row>
    <row r="38" spans="2:18" x14ac:dyDescent="0.25">
      <c r="B38" s="190">
        <v>46203</v>
      </c>
      <c r="C38" s="160"/>
      <c r="D38" s="159"/>
      <c r="E38" s="160"/>
      <c r="F38" s="160"/>
      <c r="G38" s="160"/>
      <c r="H38" s="160">
        <f t="shared" si="0"/>
        <v>0</v>
      </c>
      <c r="I38" s="148"/>
      <c r="J38" s="160">
        <f t="shared" si="6"/>
        <v>0</v>
      </c>
      <c r="K38" s="160">
        <f t="shared" si="2"/>
        <v>0</v>
      </c>
      <c r="L38" s="159"/>
      <c r="M38" s="160"/>
      <c r="N38" s="160"/>
      <c r="O38" s="160">
        <f t="shared" si="3"/>
        <v>0</v>
      </c>
      <c r="P38" s="159"/>
      <c r="Q38" s="160">
        <f t="shared" si="4"/>
        <v>0</v>
      </c>
      <c r="R38" s="1017">
        <f t="shared" si="5"/>
        <v>0</v>
      </c>
    </row>
    <row r="39" spans="2:18" ht="15.75" thickBot="1" x14ac:dyDescent="0.3">
      <c r="B39" s="190"/>
      <c r="C39" s="160"/>
      <c r="D39" s="160"/>
      <c r="E39" s="159"/>
      <c r="F39" s="159"/>
      <c r="G39" s="160"/>
      <c r="H39" s="160">
        <f t="shared" si="0"/>
        <v>0</v>
      </c>
      <c r="I39" s="148"/>
      <c r="J39" s="160">
        <f t="shared" si="6"/>
        <v>0</v>
      </c>
      <c r="K39" s="160">
        <f t="shared" si="2"/>
        <v>0</v>
      </c>
      <c r="L39" s="160"/>
      <c r="M39" s="160"/>
      <c r="N39" s="160"/>
      <c r="O39" s="160">
        <f t="shared" si="3"/>
        <v>0</v>
      </c>
      <c r="P39" s="159"/>
      <c r="Q39" s="160">
        <f t="shared" si="4"/>
        <v>0</v>
      </c>
      <c r="R39" s="1017">
        <f t="shared" si="5"/>
        <v>0</v>
      </c>
    </row>
    <row r="40" spans="2:18" ht="15.75" thickBot="1" x14ac:dyDescent="0.3">
      <c r="C40" s="242">
        <f>SUM(C9:C39)</f>
        <v>0</v>
      </c>
      <c r="D40" s="242">
        <f t="shared" ref="D40:R40" si="7">SUM(D9:D39)</f>
        <v>0</v>
      </c>
      <c r="E40" s="242">
        <f t="shared" si="7"/>
        <v>0</v>
      </c>
      <c r="F40" s="242">
        <f t="shared" si="7"/>
        <v>0</v>
      </c>
      <c r="G40" s="242">
        <f t="shared" si="7"/>
        <v>0</v>
      </c>
      <c r="H40" s="242">
        <f t="shared" si="7"/>
        <v>0</v>
      </c>
      <c r="I40" s="242">
        <f t="shared" si="7"/>
        <v>0</v>
      </c>
      <c r="J40" s="242">
        <f t="shared" si="7"/>
        <v>0</v>
      </c>
      <c r="K40" s="242">
        <f t="shared" si="7"/>
        <v>0</v>
      </c>
      <c r="L40" s="242">
        <f t="shared" si="7"/>
        <v>0</v>
      </c>
      <c r="M40" s="242">
        <f t="shared" si="7"/>
        <v>0</v>
      </c>
      <c r="N40" s="242">
        <f t="shared" si="7"/>
        <v>0</v>
      </c>
      <c r="O40" s="242">
        <f t="shared" si="7"/>
        <v>0</v>
      </c>
      <c r="P40" s="243">
        <f t="shared" si="7"/>
        <v>0</v>
      </c>
      <c r="Q40" s="242">
        <f t="shared" si="7"/>
        <v>0</v>
      </c>
      <c r="R40" s="12">
        <f t="shared" si="7"/>
        <v>0</v>
      </c>
    </row>
    <row r="42" spans="2:18" ht="15.75" thickBot="1" x14ac:dyDescent="0.3"/>
    <row r="43" spans="2:18" ht="15.75" thickBot="1" x14ac:dyDescent="0.3">
      <c r="B43" s="103" t="s">
        <v>490</v>
      </c>
      <c r="C43" s="201"/>
      <c r="D43" s="201"/>
      <c r="E43" s="202"/>
      <c r="F43" s="203" t="s">
        <v>229</v>
      </c>
      <c r="I43" s="178" t="s">
        <v>499</v>
      </c>
      <c r="J43" s="179"/>
      <c r="K43" s="186">
        <f>P40</f>
        <v>0</v>
      </c>
      <c r="N43" t="s">
        <v>1127</v>
      </c>
    </row>
    <row r="44" spans="2:18" ht="15.75" thickBot="1" x14ac:dyDescent="0.3">
      <c r="B44" s="182" t="s">
        <v>491</v>
      </c>
      <c r="C44" s="183"/>
      <c r="D44" s="183"/>
      <c r="E44" s="181"/>
      <c r="F44" s="90">
        <v>100000</v>
      </c>
      <c r="I44" s="178" t="s">
        <v>500</v>
      </c>
      <c r="J44" s="179"/>
      <c r="K44" s="186">
        <f>F64</f>
        <v>9086000</v>
      </c>
      <c r="N44" t="s">
        <v>1128</v>
      </c>
    </row>
    <row r="45" spans="2:18" ht="15.75" thickBot="1" x14ac:dyDescent="0.3">
      <c r="B45" s="21" t="s">
        <v>492</v>
      </c>
      <c r="C45" s="180"/>
      <c r="D45" s="180"/>
      <c r="E45" s="19"/>
      <c r="F45" s="3">
        <v>1730000</v>
      </c>
      <c r="K45" s="12">
        <f>K43-K44</f>
        <v>-9086000</v>
      </c>
      <c r="N45" t="s">
        <v>1129</v>
      </c>
    </row>
    <row r="46" spans="2:18" ht="15.75" thickBot="1" x14ac:dyDescent="0.3">
      <c r="B46" s="21" t="s">
        <v>493</v>
      </c>
      <c r="C46" s="180"/>
      <c r="D46" s="180"/>
      <c r="E46" s="19"/>
      <c r="F46" s="3">
        <v>1080000</v>
      </c>
      <c r="N46" t="s">
        <v>1130</v>
      </c>
    </row>
    <row r="47" spans="2:18" ht="15.75" thickBot="1" x14ac:dyDescent="0.3">
      <c r="B47" t="s">
        <v>1340</v>
      </c>
      <c r="E47" s="19"/>
      <c r="F47" s="3">
        <v>500000</v>
      </c>
      <c r="I47" s="178" t="s">
        <v>502</v>
      </c>
      <c r="J47" s="179"/>
      <c r="K47" s="177">
        <v>100000000</v>
      </c>
    </row>
    <row r="48" spans="2:18" ht="15.75" thickBot="1" x14ac:dyDescent="0.3">
      <c r="B48" s="21" t="s">
        <v>1180</v>
      </c>
      <c r="C48" s="180"/>
      <c r="D48" s="180"/>
      <c r="E48" s="19"/>
      <c r="F48" s="3">
        <v>1370000</v>
      </c>
      <c r="I48" s="178" t="s">
        <v>503</v>
      </c>
      <c r="J48" s="179"/>
      <c r="K48" s="361">
        <f>O40</f>
        <v>0</v>
      </c>
    </row>
    <row r="49" spans="2:17" ht="15.75" thickBot="1" x14ac:dyDescent="0.3">
      <c r="B49" t="s">
        <v>1341</v>
      </c>
      <c r="C49" s="180"/>
      <c r="D49" s="180"/>
      <c r="E49" s="19"/>
      <c r="F49" s="3">
        <v>1006000</v>
      </c>
      <c r="K49" s="187">
        <f>K48/K47</f>
        <v>0</v>
      </c>
    </row>
    <row r="50" spans="2:17" x14ac:dyDescent="0.25">
      <c r="B50" s="21" t="s">
        <v>1342</v>
      </c>
      <c r="C50" s="180"/>
      <c r="D50" s="180"/>
      <c r="E50" s="19"/>
      <c r="F50" s="3"/>
    </row>
    <row r="51" spans="2:17" x14ac:dyDescent="0.25">
      <c r="B51" s="21" t="s">
        <v>496</v>
      </c>
      <c r="C51" s="180"/>
      <c r="D51" s="180"/>
      <c r="E51" s="19"/>
      <c r="F51" s="3"/>
    </row>
    <row r="52" spans="2:17" ht="15.75" thickBot="1" x14ac:dyDescent="0.3">
      <c r="B52" s="21" t="s">
        <v>497</v>
      </c>
      <c r="C52" s="180"/>
      <c r="D52" s="180"/>
      <c r="E52" s="19"/>
      <c r="F52" s="3"/>
      <c r="I52" s="846" t="s">
        <v>1122</v>
      </c>
      <c r="L52" t="s">
        <v>1131</v>
      </c>
      <c r="M52" t="s">
        <v>1132</v>
      </c>
    </row>
    <row r="53" spans="2:17" ht="15.75" thickBot="1" x14ac:dyDescent="0.3">
      <c r="B53" s="21" t="s">
        <v>1140</v>
      </c>
      <c r="C53" s="180"/>
      <c r="D53" s="180"/>
      <c r="E53" s="19"/>
      <c r="F53" s="3"/>
      <c r="I53" t="s">
        <v>1123</v>
      </c>
      <c r="K53" s="18">
        <v>0</v>
      </c>
      <c r="L53" s="848">
        <v>15000000</v>
      </c>
      <c r="M53" s="850">
        <f>K53/L53*100%</f>
        <v>0</v>
      </c>
    </row>
    <row r="54" spans="2:17" ht="15.75" thickBot="1" x14ac:dyDescent="0.3">
      <c r="B54" s="21" t="s">
        <v>501</v>
      </c>
      <c r="C54" s="180"/>
      <c r="D54" s="180"/>
      <c r="E54" s="19"/>
      <c r="F54" s="3">
        <v>3300000</v>
      </c>
      <c r="I54" t="s">
        <v>1124</v>
      </c>
      <c r="K54" s="5">
        <f>K48-K53</f>
        <v>0</v>
      </c>
      <c r="L54" s="114">
        <v>85000000</v>
      </c>
      <c r="M54" s="850">
        <f t="shared" ref="M54:M55" si="8">K54/L54*100%</f>
        <v>0</v>
      </c>
    </row>
    <row r="55" spans="2:17" ht="15.75" thickBot="1" x14ac:dyDescent="0.3">
      <c r="B55" s="21" t="s">
        <v>1141</v>
      </c>
      <c r="C55" s="180"/>
      <c r="D55" s="180"/>
      <c r="E55" s="19"/>
      <c r="F55" s="1006"/>
      <c r="K55" s="847">
        <f>K53+K54</f>
        <v>0</v>
      </c>
      <c r="L55" s="849">
        <f>L53+L54</f>
        <v>100000000</v>
      </c>
      <c r="M55" s="850">
        <f t="shared" si="8"/>
        <v>0</v>
      </c>
    </row>
    <row r="56" spans="2:17" x14ac:dyDescent="0.25">
      <c r="B56" s="21" t="s">
        <v>1164</v>
      </c>
      <c r="C56" s="180"/>
      <c r="D56" s="180"/>
      <c r="E56" s="19"/>
      <c r="F56" s="1006"/>
      <c r="K56" s="5"/>
      <c r="P56">
        <v>20000000</v>
      </c>
      <c r="Q56">
        <f>P56/26</f>
        <v>769230.76923076925</v>
      </c>
    </row>
    <row r="57" spans="2:17" x14ac:dyDescent="0.25">
      <c r="B57" s="21" t="s">
        <v>1168</v>
      </c>
      <c r="C57" s="180"/>
      <c r="D57" s="180"/>
      <c r="E57" s="19"/>
      <c r="F57" s="3"/>
      <c r="P57">
        <v>85000000</v>
      </c>
      <c r="Q57">
        <f>P57/30</f>
        <v>2833333.3333333335</v>
      </c>
    </row>
    <row r="58" spans="2:17" x14ac:dyDescent="0.25">
      <c r="B58" s="21" t="s">
        <v>1343</v>
      </c>
      <c r="C58" s="180"/>
      <c r="D58" s="180"/>
      <c r="E58" s="19"/>
      <c r="F58" s="3"/>
      <c r="I58" t="s">
        <v>1125</v>
      </c>
      <c r="K58" s="5">
        <f>K53*28%</f>
        <v>0</v>
      </c>
    </row>
    <row r="59" spans="2:17" ht="15.75" thickBot="1" x14ac:dyDescent="0.3">
      <c r="B59" s="21"/>
      <c r="C59" s="180"/>
      <c r="D59" s="180"/>
      <c r="E59" s="19"/>
      <c r="F59" s="3"/>
      <c r="I59" t="s">
        <v>1126</v>
      </c>
      <c r="K59" s="5">
        <f>P40-K58</f>
        <v>0</v>
      </c>
    </row>
    <row r="60" spans="2:17" ht="15.75" thickBot="1" x14ac:dyDescent="0.3">
      <c r="K60" s="186">
        <f>K58+K59</f>
        <v>0</v>
      </c>
    </row>
    <row r="63" spans="2:17" ht="15.75" thickBot="1" x14ac:dyDescent="0.3">
      <c r="H63" t="s">
        <v>1169</v>
      </c>
      <c r="K63" s="5">
        <f>K43</f>
        <v>0</v>
      </c>
    </row>
    <row r="64" spans="2:17" ht="15.75" thickBot="1" x14ac:dyDescent="0.3">
      <c r="F64" s="177">
        <f>SUM(F44:F60)</f>
        <v>9086000</v>
      </c>
      <c r="H64" t="s">
        <v>1170</v>
      </c>
      <c r="K64" s="5">
        <f>E97</f>
        <v>0</v>
      </c>
    </row>
    <row r="65" spans="2:11" ht="15.75" thickBot="1" x14ac:dyDescent="0.3">
      <c r="H65" t="s">
        <v>1171</v>
      </c>
      <c r="K65" s="5">
        <f>E103</f>
        <v>0</v>
      </c>
    </row>
    <row r="66" spans="2:11" ht="15.75" thickBot="1" x14ac:dyDescent="0.3">
      <c r="B66" t="s">
        <v>1133</v>
      </c>
      <c r="H66" t="s">
        <v>1128</v>
      </c>
      <c r="K66" s="186">
        <f>SUM(K63:K65)</f>
        <v>0</v>
      </c>
    </row>
    <row r="67" spans="2:11" x14ac:dyDescent="0.25">
      <c r="B67" s="147" t="s">
        <v>1135</v>
      </c>
      <c r="C67" s="364"/>
      <c r="D67" s="61" t="s">
        <v>1136</v>
      </c>
      <c r="E67" s="285" t="s">
        <v>1137</v>
      </c>
    </row>
    <row r="68" spans="2:11" x14ac:dyDescent="0.25">
      <c r="B68" s="21" t="s">
        <v>1138</v>
      </c>
      <c r="C68" s="19"/>
      <c r="D68" s="3"/>
      <c r="E68" s="3"/>
      <c r="H68" t="s">
        <v>1175</v>
      </c>
    </row>
    <row r="69" spans="2:11" x14ac:dyDescent="0.25">
      <c r="B69" s="21" t="s">
        <v>1139</v>
      </c>
      <c r="C69" s="19"/>
      <c r="D69" s="3"/>
      <c r="E69" s="3"/>
      <c r="H69" t="s">
        <v>1176</v>
      </c>
      <c r="K69" s="5">
        <f>F64</f>
        <v>9086000</v>
      </c>
    </row>
    <row r="70" spans="2:11" x14ac:dyDescent="0.25">
      <c r="B70" s="21" t="s">
        <v>1142</v>
      </c>
      <c r="C70" s="19"/>
      <c r="D70" s="3"/>
      <c r="E70" s="3"/>
      <c r="H70" t="s">
        <v>1177</v>
      </c>
      <c r="K70" s="5">
        <f>D97</f>
        <v>0</v>
      </c>
    </row>
    <row r="71" spans="2:11" x14ac:dyDescent="0.25">
      <c r="B71" s="21" t="s">
        <v>1143</v>
      </c>
      <c r="C71" s="19"/>
      <c r="D71" s="3"/>
      <c r="E71" s="3"/>
      <c r="H71" t="s">
        <v>1178</v>
      </c>
      <c r="K71" s="5">
        <f>D103</f>
        <v>0</v>
      </c>
    </row>
    <row r="72" spans="2:11" ht="15.75" thickBot="1" x14ac:dyDescent="0.3">
      <c r="B72" s="21" t="s">
        <v>1144</v>
      </c>
      <c r="C72" s="19"/>
      <c r="D72" s="3"/>
      <c r="E72" s="3"/>
      <c r="K72" s="18"/>
    </row>
    <row r="73" spans="2:11" ht="15.75" thickBot="1" x14ac:dyDescent="0.3">
      <c r="B73" s="21" t="s">
        <v>1145</v>
      </c>
      <c r="C73" s="19"/>
      <c r="D73" s="3"/>
      <c r="E73" s="3"/>
      <c r="H73" t="s">
        <v>1129</v>
      </c>
      <c r="K73" s="186">
        <f>SUM(K69:K72)</f>
        <v>9086000</v>
      </c>
    </row>
    <row r="74" spans="2:11" x14ac:dyDescent="0.25">
      <c r="B74" s="21" t="s">
        <v>1146</v>
      </c>
      <c r="C74" s="19"/>
      <c r="D74" s="3"/>
      <c r="E74" s="3"/>
    </row>
    <row r="75" spans="2:11" ht="15.75" thickBot="1" x14ac:dyDescent="0.3">
      <c r="B75" s="21" t="str">
        <f>B71</f>
        <v>Bubble</v>
      </c>
      <c r="C75" s="19"/>
      <c r="D75" s="3"/>
      <c r="E75" s="3"/>
    </row>
    <row r="76" spans="2:11" ht="15.75" thickBot="1" x14ac:dyDescent="0.3">
      <c r="B76" s="21" t="s">
        <v>1148</v>
      </c>
      <c r="C76" s="19"/>
      <c r="D76" s="3"/>
      <c r="E76" s="3"/>
      <c r="H76" t="s">
        <v>1179</v>
      </c>
      <c r="K76" s="186">
        <f>K66-K73</f>
        <v>-9086000</v>
      </c>
    </row>
    <row r="77" spans="2:11" x14ac:dyDescent="0.25">
      <c r="B77" s="21" t="s">
        <v>1149</v>
      </c>
      <c r="C77" s="19"/>
      <c r="D77" s="3"/>
      <c r="E77" s="3"/>
    </row>
    <row r="78" spans="2:11" x14ac:dyDescent="0.25">
      <c r="B78" s="21" t="s">
        <v>1150</v>
      </c>
      <c r="C78" s="19"/>
      <c r="D78" s="3"/>
      <c r="E78" s="3"/>
    </row>
    <row r="79" spans="2:11" x14ac:dyDescent="0.25">
      <c r="B79" s="21" t="s">
        <v>1151</v>
      </c>
      <c r="C79" s="19"/>
      <c r="D79" s="3"/>
      <c r="E79" s="3"/>
    </row>
    <row r="80" spans="2:11" x14ac:dyDescent="0.25">
      <c r="B80" s="21" t="s">
        <v>1153</v>
      </c>
      <c r="C80" s="19"/>
      <c r="D80" s="3"/>
      <c r="E80" s="3"/>
    </row>
    <row r="81" spans="2:5" x14ac:dyDescent="0.25">
      <c r="B81" s="21" t="s">
        <v>1154</v>
      </c>
      <c r="C81" s="19"/>
      <c r="D81" s="3"/>
      <c r="E81" s="3"/>
    </row>
    <row r="82" spans="2:5" x14ac:dyDescent="0.25">
      <c r="B82" s="21" t="s">
        <v>1155</v>
      </c>
      <c r="C82" s="19"/>
      <c r="D82" s="3"/>
      <c r="E82" s="3"/>
    </row>
    <row r="83" spans="2:5" x14ac:dyDescent="0.25">
      <c r="B83" s="21" t="s">
        <v>1156</v>
      </c>
      <c r="C83" s="19"/>
      <c r="D83" s="3"/>
      <c r="E83" s="3"/>
    </row>
  </sheetData>
  <mergeCells count="14">
    <mergeCell ref="N7:N8"/>
    <mergeCell ref="O7:O8"/>
    <mergeCell ref="P7:P8"/>
    <mergeCell ref="R7:R8"/>
    <mergeCell ref="A6:R6"/>
    <mergeCell ref="B7:B8"/>
    <mergeCell ref="C7:C8"/>
    <mergeCell ref="D7:G7"/>
    <mergeCell ref="H7:H8"/>
    <mergeCell ref="I7:I8"/>
    <mergeCell ref="J7:J8"/>
    <mergeCell ref="K7:K8"/>
    <mergeCell ref="L7:L8"/>
    <mergeCell ref="M7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NOVEMBER </vt:lpstr>
      <vt:lpstr>DESEMBER</vt:lpstr>
      <vt:lpstr>Januari26</vt:lpstr>
      <vt:lpstr>feb26</vt:lpstr>
      <vt:lpstr>mar26</vt:lpstr>
      <vt:lpstr>Apr 26</vt:lpstr>
      <vt:lpstr>Mei 26</vt:lpstr>
      <vt:lpstr>BB</vt:lpstr>
      <vt:lpstr>BB LUNAS</vt:lpstr>
      <vt:lpstr>Lap Har Des25</vt:lpstr>
      <vt:lpstr>Lap Har Jan26</vt:lpstr>
      <vt:lpstr>LH jun 26</vt:lpstr>
      <vt:lpstr>Juni26</vt:lpstr>
      <vt:lpstr>'Mei 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cp:lastPrinted>2026-06-10T07:27:15Z</cp:lastPrinted>
  <dcterms:created xsi:type="dcterms:W3CDTF">2025-11-16T04:11:28Z</dcterms:created>
  <dcterms:modified xsi:type="dcterms:W3CDTF">2026-08-20T05:04:20Z</dcterms:modified>
</cp:coreProperties>
</file>